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19080" windowHeight="7635"/>
  </bookViews>
  <sheets>
    <sheet name="Cost_Benefit_Analysis" sheetId="4" r:id="rId1"/>
    <sheet name="Current Situation (May 2013)" sheetId="1" state="hidden" r:id="rId2"/>
    <sheet name="Year-on-Year Costs (10% infl)" sheetId="3" state="hidden" r:id="rId3"/>
    <sheet name="Year-on-Year Costs (20% infl)" sheetId="6" state="hidden" r:id="rId4"/>
    <sheet name="Year-on-Year Costs (30% infl)" sheetId="7" state="hidden" r:id="rId5"/>
  </sheets>
  <calcPr calcId="145621"/>
</workbook>
</file>

<file path=xl/calcChain.xml><?xml version="1.0" encoding="utf-8"?>
<calcChain xmlns="http://schemas.openxmlformats.org/spreadsheetml/2006/main">
  <c r="R25" i="4" l="1"/>
  <c r="R7" i="4" l="1"/>
  <c r="R36" i="4" s="1"/>
  <c r="E50" i="3"/>
  <c r="F50" i="3" s="1"/>
  <c r="F57" i="3" s="1"/>
  <c r="B53" i="3"/>
  <c r="D54" i="3"/>
  <c r="E54" i="3" s="1"/>
  <c r="F54" i="3" s="1"/>
  <c r="G54" i="3" s="1"/>
  <c r="H54" i="3" s="1"/>
  <c r="I54" i="3" s="1"/>
  <c r="J54" i="3" s="1"/>
  <c r="K54" i="3" s="1"/>
  <c r="B60" i="3"/>
  <c r="B60" i="7" s="1"/>
  <c r="B92" i="7"/>
  <c r="B76" i="7"/>
  <c r="B69" i="7"/>
  <c r="B53" i="7"/>
  <c r="B92" i="3"/>
  <c r="B84" i="3"/>
  <c r="B76" i="3"/>
  <c r="D69" i="3"/>
  <c r="E69" i="3" s="1"/>
  <c r="E60" i="3" s="1"/>
  <c r="R14" i="4"/>
  <c r="D50" i="3" s="1"/>
  <c r="D81" i="3"/>
  <c r="K50" i="3" l="1"/>
  <c r="K57" i="3" s="1"/>
  <c r="J50" i="3"/>
  <c r="J57" i="3" s="1"/>
  <c r="I50" i="3"/>
  <c r="I57" i="3" s="1"/>
  <c r="H50" i="3"/>
  <c r="H57" i="3" s="1"/>
  <c r="G50" i="3"/>
  <c r="G57" i="3" s="1"/>
  <c r="E57" i="3"/>
  <c r="D61" i="3"/>
  <c r="E61" i="3" s="1"/>
  <c r="F61" i="3" s="1"/>
  <c r="G61" i="3" s="1"/>
  <c r="H61" i="3" s="1"/>
  <c r="I61" i="3" s="1"/>
  <c r="J61" i="3" s="1"/>
  <c r="K61" i="3" s="1"/>
  <c r="R34" i="4"/>
  <c r="F69" i="3"/>
  <c r="G69" i="3" s="1"/>
  <c r="H69" i="3" s="1"/>
  <c r="I69" i="3" s="1"/>
  <c r="J69" i="3" s="1"/>
  <c r="K69" i="3" s="1"/>
  <c r="E53" i="3"/>
  <c r="D53" i="3"/>
  <c r="D53" i="7" s="1"/>
  <c r="D60" i="3"/>
  <c r="D69" i="6"/>
  <c r="D76" i="3"/>
  <c r="D76" i="7" s="1"/>
  <c r="D84" i="3"/>
  <c r="D69" i="7"/>
  <c r="E84" i="3"/>
  <c r="E92" i="3"/>
  <c r="E92" i="7" s="1"/>
  <c r="E84" i="7" s="1"/>
  <c r="E60" i="7"/>
  <c r="D92" i="3"/>
  <c r="D92" i="6" s="1"/>
  <c r="E69" i="6"/>
  <c r="E76" i="3"/>
  <c r="E69" i="7"/>
  <c r="R6" i="4"/>
  <c r="D82" i="7"/>
  <c r="D90" i="7" s="1"/>
  <c r="E81" i="7"/>
  <c r="F81" i="7" s="1"/>
  <c r="G81" i="7" s="1"/>
  <c r="D81" i="7"/>
  <c r="D89" i="7" s="1"/>
  <c r="D54" i="7"/>
  <c r="E54" i="7" s="1"/>
  <c r="E70" i="7" s="1"/>
  <c r="E77" i="7" s="1"/>
  <c r="E50" i="7"/>
  <c r="F50" i="7" s="1"/>
  <c r="F57" i="7" s="1"/>
  <c r="D45" i="7"/>
  <c r="D82" i="6"/>
  <c r="D90" i="6" s="1"/>
  <c r="E81" i="6"/>
  <c r="F81" i="6" s="1"/>
  <c r="D81" i="6"/>
  <c r="D89" i="6" s="1"/>
  <c r="D54" i="6"/>
  <c r="D61" i="6" s="1"/>
  <c r="E50" i="6"/>
  <c r="E73" i="6" s="1"/>
  <c r="D45" i="6"/>
  <c r="D45" i="3"/>
  <c r="E45" i="3" s="1"/>
  <c r="F45" i="3" s="1"/>
  <c r="G45" i="3" s="1"/>
  <c r="H45" i="3" s="1"/>
  <c r="I45" i="3" s="1"/>
  <c r="J45" i="3" s="1"/>
  <c r="K45" i="3" s="1"/>
  <c r="R3" i="4"/>
  <c r="R37" i="4" s="1"/>
  <c r="D50" i="7"/>
  <c r="R16" i="4"/>
  <c r="D57" i="3" s="1"/>
  <c r="R18" i="4"/>
  <c r="G14" i="1"/>
  <c r="G16" i="1" s="1"/>
  <c r="A32" i="4"/>
  <c r="A27" i="4"/>
  <c r="D94" i="3" l="1"/>
  <c r="E94" i="3" s="1"/>
  <c r="F94" i="3" s="1"/>
  <c r="G94" i="3" s="1"/>
  <c r="H94" i="3" s="1"/>
  <c r="I94" i="3" s="1"/>
  <c r="J94" i="3" s="1"/>
  <c r="K94" i="3" s="1"/>
  <c r="D94" i="6"/>
  <c r="E94" i="6" s="1"/>
  <c r="F94" i="6" s="1"/>
  <c r="G94" i="6" s="1"/>
  <c r="H94" i="6" s="1"/>
  <c r="I94" i="6" s="1"/>
  <c r="J94" i="6" s="1"/>
  <c r="K94" i="6" s="1"/>
  <c r="D94" i="7"/>
  <c r="E94" i="7" s="1"/>
  <c r="F94" i="7" s="1"/>
  <c r="G94" i="7" s="1"/>
  <c r="H94" i="7" s="1"/>
  <c r="I94" i="7" s="1"/>
  <c r="J94" i="7" s="1"/>
  <c r="K94" i="7" s="1"/>
  <c r="D51" i="7"/>
  <c r="D58" i="7" s="1"/>
  <c r="D67" i="7" s="1"/>
  <c r="D74" i="7" s="1"/>
  <c r="D51" i="3"/>
  <c r="D58" i="3" s="1"/>
  <c r="D76" i="6"/>
  <c r="D84" i="6" s="1"/>
  <c r="F60" i="3"/>
  <c r="F53" i="3"/>
  <c r="D60" i="6"/>
  <c r="E92" i="6"/>
  <c r="D53" i="6"/>
  <c r="D92" i="7"/>
  <c r="D84" i="7" s="1"/>
  <c r="D60" i="7"/>
  <c r="E60" i="6"/>
  <c r="E76" i="7"/>
  <c r="E76" i="6"/>
  <c r="E84" i="6" s="1"/>
  <c r="E53" i="7"/>
  <c r="E53" i="6"/>
  <c r="F69" i="7"/>
  <c r="F84" i="3"/>
  <c r="F69" i="6"/>
  <c r="F76" i="3"/>
  <c r="F92" i="3"/>
  <c r="D86" i="7"/>
  <c r="D86" i="6"/>
  <c r="D86" i="3"/>
  <c r="E61" i="6"/>
  <c r="F61" i="6" s="1"/>
  <c r="G61" i="6" s="1"/>
  <c r="H61" i="6" s="1"/>
  <c r="I61" i="6" s="1"/>
  <c r="J61" i="6" s="1"/>
  <c r="K61" i="6" s="1"/>
  <c r="E66" i="7"/>
  <c r="I50" i="7"/>
  <c r="I73" i="7" s="1"/>
  <c r="J50" i="7"/>
  <c r="J57" i="7" s="1"/>
  <c r="D50" i="6"/>
  <c r="D57" i="6" s="1"/>
  <c r="D73" i="6" s="1"/>
  <c r="E89" i="7"/>
  <c r="E89" i="6"/>
  <c r="D57" i="7"/>
  <c r="D73" i="7" s="1"/>
  <c r="D66" i="7"/>
  <c r="D51" i="6"/>
  <c r="D58" i="6" s="1"/>
  <c r="D67" i="6" s="1"/>
  <c r="D74" i="6" s="1"/>
  <c r="K50" i="6"/>
  <c r="K73" i="6" s="1"/>
  <c r="E66" i="6"/>
  <c r="E57" i="7"/>
  <c r="G50" i="7"/>
  <c r="G73" i="7" s="1"/>
  <c r="H50" i="7"/>
  <c r="H57" i="7" s="1"/>
  <c r="D61" i="7"/>
  <c r="E61" i="7" s="1"/>
  <c r="F61" i="7" s="1"/>
  <c r="G61" i="7" s="1"/>
  <c r="H61" i="7" s="1"/>
  <c r="I61" i="7" s="1"/>
  <c r="J61" i="7" s="1"/>
  <c r="K61" i="7" s="1"/>
  <c r="K50" i="7"/>
  <c r="K66" i="7" s="1"/>
  <c r="D70" i="7"/>
  <c r="D77" i="7" s="1"/>
  <c r="E73" i="7"/>
  <c r="G81" i="6"/>
  <c r="H81" i="6" s="1"/>
  <c r="F89" i="6"/>
  <c r="F50" i="6"/>
  <c r="F57" i="6" s="1"/>
  <c r="E54" i="6"/>
  <c r="E70" i="6" s="1"/>
  <c r="E77" i="6" s="1"/>
  <c r="G50" i="6"/>
  <c r="E57" i="6"/>
  <c r="H50" i="6"/>
  <c r="D70" i="6"/>
  <c r="D77" i="6" s="1"/>
  <c r="I50" i="6"/>
  <c r="J50" i="6"/>
  <c r="J57" i="6" s="1"/>
  <c r="F89" i="7"/>
  <c r="G89" i="7"/>
  <c r="H81" i="7"/>
  <c r="E45" i="7"/>
  <c r="F45" i="7" s="1"/>
  <c r="G45" i="7" s="1"/>
  <c r="H45" i="7" s="1"/>
  <c r="I45" i="7" s="1"/>
  <c r="J45" i="7" s="1"/>
  <c r="K45" i="7" s="1"/>
  <c r="D46" i="7"/>
  <c r="F54" i="7"/>
  <c r="F73" i="7"/>
  <c r="F66" i="7"/>
  <c r="D46" i="6"/>
  <c r="E45" i="6"/>
  <c r="F45" i="6" s="1"/>
  <c r="G45" i="6" s="1"/>
  <c r="H45" i="6" s="1"/>
  <c r="I45" i="6" s="1"/>
  <c r="J45" i="6" s="1"/>
  <c r="K45" i="6" s="1"/>
  <c r="E81" i="3"/>
  <c r="F81" i="3" s="1"/>
  <c r="D82" i="3"/>
  <c r="D90" i="3" s="1"/>
  <c r="D89" i="3"/>
  <c r="G53" i="3" l="1"/>
  <c r="G60" i="3"/>
  <c r="G84" i="3"/>
  <c r="G69" i="7"/>
  <c r="G69" i="6"/>
  <c r="G92" i="3"/>
  <c r="G76" i="3"/>
  <c r="F92" i="7"/>
  <c r="F84" i="7" s="1"/>
  <c r="F92" i="6"/>
  <c r="F60" i="7"/>
  <c r="F60" i="6"/>
  <c r="F76" i="7"/>
  <c r="F76" i="6"/>
  <c r="F84" i="6" s="1"/>
  <c r="F53" i="6"/>
  <c r="F53" i="7"/>
  <c r="H73" i="7"/>
  <c r="J66" i="7"/>
  <c r="J73" i="7"/>
  <c r="G73" i="6"/>
  <c r="G66" i="6"/>
  <c r="L61" i="6"/>
  <c r="H66" i="7"/>
  <c r="I57" i="7"/>
  <c r="G57" i="7"/>
  <c r="I66" i="7"/>
  <c r="K57" i="6"/>
  <c r="G57" i="6"/>
  <c r="K73" i="7"/>
  <c r="D66" i="6"/>
  <c r="F54" i="6"/>
  <c r="G54" i="6" s="1"/>
  <c r="G66" i="7"/>
  <c r="F66" i="6"/>
  <c r="G89" i="6"/>
  <c r="K66" i="6"/>
  <c r="J66" i="6"/>
  <c r="K57" i="7"/>
  <c r="J73" i="6"/>
  <c r="F73" i="6"/>
  <c r="H57" i="6"/>
  <c r="H66" i="6"/>
  <c r="H73" i="6"/>
  <c r="E46" i="6"/>
  <c r="I66" i="6"/>
  <c r="I57" i="6"/>
  <c r="I73" i="6"/>
  <c r="H89" i="7"/>
  <c r="I81" i="7"/>
  <c r="F70" i="7"/>
  <c r="F77" i="7" s="1"/>
  <c r="G54" i="7"/>
  <c r="E46" i="7"/>
  <c r="H89" i="6"/>
  <c r="I81" i="6"/>
  <c r="E89" i="3"/>
  <c r="G81" i="3"/>
  <c r="F89" i="3"/>
  <c r="D67" i="3"/>
  <c r="D74" i="3" s="1"/>
  <c r="I14" i="1"/>
  <c r="I16" i="1" s="1"/>
  <c r="I4" i="1"/>
  <c r="I6" i="1" s="1"/>
  <c r="I8" i="1" s="1"/>
  <c r="G18" i="1"/>
  <c r="G4" i="1"/>
  <c r="G6" i="1" s="1"/>
  <c r="G8" i="1" s="1"/>
  <c r="D66" i="3"/>
  <c r="F4" i="1"/>
  <c r="H60" i="3" l="1"/>
  <c r="H53" i="3"/>
  <c r="G53" i="7"/>
  <c r="G53" i="6"/>
  <c r="G76" i="6"/>
  <c r="G84" i="6" s="1"/>
  <c r="G76" i="7"/>
  <c r="G92" i="6"/>
  <c r="G92" i="7"/>
  <c r="G84" i="7" s="1"/>
  <c r="G60" i="7"/>
  <c r="G60" i="6"/>
  <c r="H69" i="6"/>
  <c r="H76" i="3"/>
  <c r="H69" i="7"/>
  <c r="H84" i="3"/>
  <c r="H92" i="3"/>
  <c r="F46" i="6"/>
  <c r="F46" i="7"/>
  <c r="F70" i="6"/>
  <c r="F77" i="6" s="1"/>
  <c r="L57" i="6"/>
  <c r="E86" i="3"/>
  <c r="F86" i="3" s="1"/>
  <c r="G86" i="3" s="1"/>
  <c r="H86" i="3" s="1"/>
  <c r="I86" i="3" s="1"/>
  <c r="J86" i="3" s="1"/>
  <c r="K86" i="3" s="1"/>
  <c r="E86" i="7"/>
  <c r="F86" i="7" s="1"/>
  <c r="G86" i="7" s="1"/>
  <c r="H86" i="7" s="1"/>
  <c r="I86" i="7" s="1"/>
  <c r="J86" i="7" s="1"/>
  <c r="K86" i="7" s="1"/>
  <c r="I89" i="7"/>
  <c r="J81" i="7"/>
  <c r="H54" i="7"/>
  <c r="G70" i="7"/>
  <c r="G77" i="7" s="1"/>
  <c r="J81" i="6"/>
  <c r="I89" i="6"/>
  <c r="H54" i="6"/>
  <c r="G70" i="6"/>
  <c r="G77" i="6" s="1"/>
  <c r="G66" i="3"/>
  <c r="D46" i="3"/>
  <c r="I18" i="1"/>
  <c r="O18" i="1" s="1"/>
  <c r="E66" i="3"/>
  <c r="F66" i="3"/>
  <c r="E73" i="3"/>
  <c r="H66" i="3"/>
  <c r="G89" i="3"/>
  <c r="H81" i="3"/>
  <c r="D70" i="3"/>
  <c r="D77" i="3" s="1"/>
  <c r="F14" i="1"/>
  <c r="H14" i="1" s="1"/>
  <c r="F6" i="1"/>
  <c r="M8" i="1"/>
  <c r="H19" i="1"/>
  <c r="H17" i="1"/>
  <c r="O16" i="1"/>
  <c r="M16" i="1"/>
  <c r="H15" i="1"/>
  <c r="Q14" i="1"/>
  <c r="O14" i="1"/>
  <c r="N29" i="1"/>
  <c r="O29" i="1" s="1"/>
  <c r="Q29" i="1" s="1"/>
  <c r="N27" i="1"/>
  <c r="O27" i="1" s="1"/>
  <c r="Q27" i="1" s="1"/>
  <c r="Q28" i="1"/>
  <c r="Q26" i="1"/>
  <c r="H9" i="1"/>
  <c r="H7" i="1"/>
  <c r="H5" i="1"/>
  <c r="H4" i="1"/>
  <c r="Q8" i="1"/>
  <c r="O6" i="1"/>
  <c r="Q4" i="1"/>
  <c r="N25" i="1"/>
  <c r="O25" i="1" s="1"/>
  <c r="Q25" i="1" s="1"/>
  <c r="I60" i="3" l="1"/>
  <c r="I53" i="3"/>
  <c r="H76" i="6"/>
  <c r="H84" i="6" s="1"/>
  <c r="H76" i="7"/>
  <c r="H60" i="6"/>
  <c r="H60" i="7"/>
  <c r="H53" i="6"/>
  <c r="H53" i="7"/>
  <c r="H92" i="6"/>
  <c r="H92" i="7"/>
  <c r="H84" i="7" s="1"/>
  <c r="I69" i="6"/>
  <c r="I92" i="3"/>
  <c r="I84" i="3"/>
  <c r="I69" i="7"/>
  <c r="I76" i="3"/>
  <c r="G46" i="7"/>
  <c r="G46" i="6"/>
  <c r="E86" i="6"/>
  <c r="F86" i="6" s="1"/>
  <c r="G86" i="6" s="1"/>
  <c r="H86" i="6" s="1"/>
  <c r="I86" i="6" s="1"/>
  <c r="J86" i="6" s="1"/>
  <c r="K86" i="6" s="1"/>
  <c r="F8" i="1"/>
  <c r="F18" i="1" s="1"/>
  <c r="B2" i="7"/>
  <c r="B2" i="6"/>
  <c r="I54" i="7"/>
  <c r="H70" i="7"/>
  <c r="H77" i="7" s="1"/>
  <c r="J89" i="7"/>
  <c r="K81" i="7"/>
  <c r="K89" i="7" s="1"/>
  <c r="K81" i="6"/>
  <c r="K89" i="6" s="1"/>
  <c r="J89" i="6"/>
  <c r="H70" i="6"/>
  <c r="H77" i="6" s="1"/>
  <c r="I54" i="6"/>
  <c r="G73" i="3"/>
  <c r="E46" i="3"/>
  <c r="D73" i="3"/>
  <c r="I66" i="3"/>
  <c r="Q18" i="1"/>
  <c r="M18" i="1"/>
  <c r="I73" i="3"/>
  <c r="K66" i="3"/>
  <c r="K73" i="3"/>
  <c r="F73" i="3"/>
  <c r="H73" i="3"/>
  <c r="J66" i="3"/>
  <c r="J73" i="3"/>
  <c r="I81" i="3"/>
  <c r="H89" i="3"/>
  <c r="M6" i="1"/>
  <c r="N6" i="1" s="1"/>
  <c r="B2" i="3"/>
  <c r="F16" i="1"/>
  <c r="J16" i="1" s="1"/>
  <c r="P6" i="1"/>
  <c r="H6" i="1"/>
  <c r="Q16" i="1"/>
  <c r="J14" i="1"/>
  <c r="M14" i="1"/>
  <c r="M4" i="1"/>
  <c r="O4" i="1"/>
  <c r="J4" i="1"/>
  <c r="J6" i="1"/>
  <c r="Q6" i="1"/>
  <c r="R6" i="1" s="1"/>
  <c r="O8" i="1"/>
  <c r="D26" i="6" l="1"/>
  <c r="D26" i="3"/>
  <c r="J60" i="3"/>
  <c r="J53" i="3"/>
  <c r="I92" i="6"/>
  <c r="I92" i="7"/>
  <c r="I84" i="7" s="1"/>
  <c r="I60" i="6"/>
  <c r="I60" i="7"/>
  <c r="I53" i="7"/>
  <c r="I53" i="6"/>
  <c r="I76" i="6"/>
  <c r="I84" i="6" s="1"/>
  <c r="I76" i="7"/>
  <c r="J92" i="3"/>
  <c r="J69" i="6"/>
  <c r="J84" i="3"/>
  <c r="J69" i="7"/>
  <c r="J76" i="3"/>
  <c r="H46" i="7"/>
  <c r="H46" i="6"/>
  <c r="L86" i="6"/>
  <c r="P8" i="1"/>
  <c r="J8" i="1"/>
  <c r="H8" i="1"/>
  <c r="N8" i="1"/>
  <c r="R8" i="1"/>
  <c r="D7" i="7"/>
  <c r="D7" i="6"/>
  <c r="I70" i="7"/>
  <c r="I77" i="7" s="1"/>
  <c r="J54" i="7"/>
  <c r="I70" i="6"/>
  <c r="I77" i="6" s="1"/>
  <c r="J54" i="6"/>
  <c r="F46" i="3"/>
  <c r="N16" i="1"/>
  <c r="R18" i="1"/>
  <c r="J81" i="3"/>
  <c r="I89" i="3"/>
  <c r="E70" i="3"/>
  <c r="E77" i="3" s="1"/>
  <c r="R16" i="1"/>
  <c r="P16" i="1"/>
  <c r="P18" i="1"/>
  <c r="N18" i="1"/>
  <c r="J18" i="1"/>
  <c r="H18" i="1"/>
  <c r="H16" i="1"/>
  <c r="D7" i="3"/>
  <c r="D13" i="3" s="1"/>
  <c r="K60" i="3" l="1"/>
  <c r="K53" i="3"/>
  <c r="J53" i="7"/>
  <c r="J53" i="6"/>
  <c r="J92" i="7"/>
  <c r="J84" i="7" s="1"/>
  <c r="J92" i="6"/>
  <c r="J60" i="7"/>
  <c r="J60" i="6"/>
  <c r="J76" i="6"/>
  <c r="J84" i="6" s="1"/>
  <c r="J76" i="7"/>
  <c r="K92" i="3"/>
  <c r="K76" i="3"/>
  <c r="K84" i="3"/>
  <c r="K69" i="6"/>
  <c r="K69" i="7"/>
  <c r="I46" i="6"/>
  <c r="I46" i="7"/>
  <c r="D26" i="7"/>
  <c r="D8" i="6"/>
  <c r="D9" i="6"/>
  <c r="E7" i="6"/>
  <c r="D13" i="6"/>
  <c r="D13" i="7"/>
  <c r="D8" i="7"/>
  <c r="D9" i="7"/>
  <c r="E7" i="7"/>
  <c r="E8" i="7" s="1"/>
  <c r="J70" i="7"/>
  <c r="J77" i="7" s="1"/>
  <c r="K54" i="7"/>
  <c r="K70" i="7" s="1"/>
  <c r="K77" i="7" s="1"/>
  <c r="J70" i="6"/>
  <c r="J77" i="6" s="1"/>
  <c r="K54" i="6"/>
  <c r="K70" i="6" s="1"/>
  <c r="K77" i="6" s="1"/>
  <c r="G46" i="3"/>
  <c r="K81" i="3"/>
  <c r="K89" i="3" s="1"/>
  <c r="J89" i="3"/>
  <c r="F70" i="3"/>
  <c r="F77" i="3" s="1"/>
  <c r="E13" i="3"/>
  <c r="E14" i="3" s="1"/>
  <c r="D14" i="3"/>
  <c r="D15" i="3"/>
  <c r="D9" i="3"/>
  <c r="E7" i="3"/>
  <c r="F7" i="3" s="1"/>
  <c r="G7" i="3" s="1"/>
  <c r="H7" i="3" s="1"/>
  <c r="I7" i="3" s="1"/>
  <c r="J7" i="3" s="1"/>
  <c r="K7" i="3" s="1"/>
  <c r="D8" i="3"/>
  <c r="E5" i="4" s="1"/>
  <c r="D32" i="3" l="1"/>
  <c r="D33" i="3" s="1"/>
  <c r="D27" i="3"/>
  <c r="K53" i="7"/>
  <c r="K53" i="6"/>
  <c r="K60" i="6"/>
  <c r="K60" i="7"/>
  <c r="K76" i="7"/>
  <c r="K76" i="6"/>
  <c r="K84" i="6" s="1"/>
  <c r="K92" i="7"/>
  <c r="K84" i="7" s="1"/>
  <c r="K92" i="6"/>
  <c r="J46" i="7"/>
  <c r="J46" i="6"/>
  <c r="D19" i="6"/>
  <c r="D10" i="6"/>
  <c r="E13" i="6"/>
  <c r="D14" i="6"/>
  <c r="E6" i="4" s="1"/>
  <c r="D15" i="6"/>
  <c r="E9" i="6"/>
  <c r="E10" i="6" s="1"/>
  <c r="F7" i="6"/>
  <c r="D27" i="7"/>
  <c r="D28" i="7"/>
  <c r="D32" i="7"/>
  <c r="E26" i="7"/>
  <c r="D14" i="7"/>
  <c r="D15" i="7"/>
  <c r="D16" i="7" s="1"/>
  <c r="E13" i="7"/>
  <c r="E14" i="7" s="1"/>
  <c r="F7" i="7"/>
  <c r="E9" i="7"/>
  <c r="E10" i="7" s="1"/>
  <c r="D10" i="7"/>
  <c r="D19" i="7"/>
  <c r="D28" i="6"/>
  <c r="D32" i="6"/>
  <c r="E26" i="6"/>
  <c r="D27" i="6"/>
  <c r="E8" i="6"/>
  <c r="H46" i="3"/>
  <c r="D10" i="3"/>
  <c r="E26" i="3"/>
  <c r="D28" i="3"/>
  <c r="D29" i="3" s="1"/>
  <c r="G70" i="3"/>
  <c r="G77" i="3" s="1"/>
  <c r="E9" i="3"/>
  <c r="D19" i="3"/>
  <c r="D21" i="3" s="1"/>
  <c r="E21" i="3" s="1"/>
  <c r="D16" i="3"/>
  <c r="F13" i="3"/>
  <c r="E15" i="3"/>
  <c r="E8" i="3"/>
  <c r="F5" i="4" s="1"/>
  <c r="E27" i="3" l="1"/>
  <c r="F10" i="4" s="1"/>
  <c r="F16" i="4" s="1"/>
  <c r="E27" i="7"/>
  <c r="E27" i="6"/>
  <c r="D59" i="7"/>
  <c r="D52" i="7"/>
  <c r="D34" i="3"/>
  <c r="D35" i="3" s="1"/>
  <c r="E10" i="4"/>
  <c r="E16" i="4" s="1"/>
  <c r="E32" i="3"/>
  <c r="F32" i="3" s="1"/>
  <c r="D83" i="3"/>
  <c r="E83" i="3" s="1"/>
  <c r="F83" i="3" s="1"/>
  <c r="G83" i="3" s="1"/>
  <c r="H83" i="3" s="1"/>
  <c r="I83" i="3" s="1"/>
  <c r="J83" i="3" s="1"/>
  <c r="K83" i="3" s="1"/>
  <c r="K46" i="6"/>
  <c r="K46" i="7"/>
  <c r="E19" i="7"/>
  <c r="F19" i="7" s="1"/>
  <c r="D21" i="7"/>
  <c r="D20" i="7"/>
  <c r="E7" i="4" s="1"/>
  <c r="D16" i="6"/>
  <c r="D38" i="6"/>
  <c r="D29" i="6"/>
  <c r="E28" i="7"/>
  <c r="E29" i="7" s="1"/>
  <c r="F26" i="7"/>
  <c r="F9" i="7"/>
  <c r="F10" i="7" s="1"/>
  <c r="G7" i="7"/>
  <c r="D29" i="7"/>
  <c r="D38" i="7"/>
  <c r="E32" i="6"/>
  <c r="D33" i="6"/>
  <c r="R23" i="4" s="1"/>
  <c r="D34" i="6"/>
  <c r="D35" i="6" s="1"/>
  <c r="D83" i="6"/>
  <c r="G7" i="6"/>
  <c r="F9" i="6"/>
  <c r="F10" i="6" s="1"/>
  <c r="E19" i="6"/>
  <c r="F19" i="6" s="1"/>
  <c r="D20" i="6"/>
  <c r="D21" i="6"/>
  <c r="F8" i="6"/>
  <c r="D83" i="7"/>
  <c r="D33" i="7"/>
  <c r="D34" i="7"/>
  <c r="D35" i="7" s="1"/>
  <c r="E32" i="7"/>
  <c r="E33" i="7" s="1"/>
  <c r="E14" i="6"/>
  <c r="F6" i="4" s="1"/>
  <c r="F13" i="6"/>
  <c r="E15" i="6"/>
  <c r="E16" i="6" s="1"/>
  <c r="E28" i="6"/>
  <c r="E29" i="6" s="1"/>
  <c r="F26" i="6"/>
  <c r="E15" i="7"/>
  <c r="E16" i="7" s="1"/>
  <c r="F13" i="7"/>
  <c r="F14" i="7" s="1"/>
  <c r="F8" i="7"/>
  <c r="I46" i="3"/>
  <c r="E10" i="3"/>
  <c r="E16" i="3"/>
  <c r="D38" i="3"/>
  <c r="E38" i="3" s="1"/>
  <c r="F38" i="3" s="1"/>
  <c r="E28" i="3"/>
  <c r="E29" i="3" s="1"/>
  <c r="F26" i="3"/>
  <c r="H70" i="3"/>
  <c r="H77" i="3" s="1"/>
  <c r="E19" i="3"/>
  <c r="F19" i="3" s="1"/>
  <c r="F21" i="3" s="1"/>
  <c r="D20" i="3"/>
  <c r="D22" i="3"/>
  <c r="E22" i="3" s="1"/>
  <c r="G13" i="3"/>
  <c r="F15" i="3"/>
  <c r="F14" i="3"/>
  <c r="F8" i="3"/>
  <c r="G5" i="4" s="1"/>
  <c r="F9" i="3"/>
  <c r="G26" i="3" l="1"/>
  <c r="H26" i="3" s="1"/>
  <c r="F27" i="6"/>
  <c r="D75" i="7"/>
  <c r="D68" i="7"/>
  <c r="D91" i="7" s="1"/>
  <c r="D75" i="6"/>
  <c r="D68" i="6"/>
  <c r="D91" i="6" s="1"/>
  <c r="D75" i="3"/>
  <c r="D52" i="3"/>
  <c r="D68" i="3"/>
  <c r="D91" i="3" s="1"/>
  <c r="D59" i="3"/>
  <c r="D87" i="3"/>
  <c r="E28" i="4" s="1"/>
  <c r="E34" i="3"/>
  <c r="E35" i="3" s="1"/>
  <c r="E33" i="3"/>
  <c r="F33" i="3" s="1"/>
  <c r="F27" i="3"/>
  <c r="E11" i="4"/>
  <c r="E33" i="6"/>
  <c r="F11" i="4" s="1"/>
  <c r="E83" i="6"/>
  <c r="G8" i="7"/>
  <c r="E20" i="7"/>
  <c r="G8" i="6"/>
  <c r="E20" i="6"/>
  <c r="F20" i="6" s="1"/>
  <c r="E38" i="6"/>
  <c r="F38" i="6" s="1"/>
  <c r="D39" i="6"/>
  <c r="D40" i="6"/>
  <c r="E21" i="6"/>
  <c r="D22" i="6"/>
  <c r="D87" i="6"/>
  <c r="G19" i="6"/>
  <c r="F21" i="6"/>
  <c r="E21" i="7"/>
  <c r="D22" i="7"/>
  <c r="F15" i="7"/>
  <c r="F16" i="7" s="1"/>
  <c r="G13" i="7"/>
  <c r="G26" i="6"/>
  <c r="F28" i="6"/>
  <c r="F29" i="6" s="1"/>
  <c r="F15" i="6"/>
  <c r="F16" i="6" s="1"/>
  <c r="G13" i="6"/>
  <c r="G26" i="7"/>
  <c r="F28" i="7"/>
  <c r="F29" i="7" s="1"/>
  <c r="F21" i="7"/>
  <c r="G19" i="7"/>
  <c r="E34" i="6"/>
  <c r="E35" i="6" s="1"/>
  <c r="F32" i="6"/>
  <c r="F83" i="6" s="1"/>
  <c r="E34" i="7"/>
  <c r="E35" i="7" s="1"/>
  <c r="F32" i="7"/>
  <c r="E38" i="7"/>
  <c r="F38" i="7" s="1"/>
  <c r="D40" i="7"/>
  <c r="D39" i="7"/>
  <c r="E12" i="4" s="1"/>
  <c r="G9" i="7"/>
  <c r="G10" i="7" s="1"/>
  <c r="H7" i="7"/>
  <c r="F14" i="6"/>
  <c r="G6" i="4" s="1"/>
  <c r="E83" i="7"/>
  <c r="F83" i="7" s="1"/>
  <c r="G83" i="7" s="1"/>
  <c r="H83" i="7" s="1"/>
  <c r="I83" i="7" s="1"/>
  <c r="J83" i="7" s="1"/>
  <c r="K83" i="7" s="1"/>
  <c r="D87" i="7"/>
  <c r="H7" i="6"/>
  <c r="G9" i="6"/>
  <c r="G10" i="6" s="1"/>
  <c r="F27" i="7"/>
  <c r="J46" i="3"/>
  <c r="F10" i="3"/>
  <c r="F16" i="3"/>
  <c r="D39" i="3"/>
  <c r="E39" i="3" s="1"/>
  <c r="F39" i="3" s="1"/>
  <c r="D40" i="3"/>
  <c r="E40" i="3" s="1"/>
  <c r="F28" i="3"/>
  <c r="F29" i="3" s="1"/>
  <c r="I70" i="3"/>
  <c r="I77" i="3" s="1"/>
  <c r="F40" i="3"/>
  <c r="G38" i="3"/>
  <c r="F34" i="3"/>
  <c r="G32" i="3"/>
  <c r="F22" i="3"/>
  <c r="E20" i="3"/>
  <c r="G19" i="3"/>
  <c r="G21" i="3" s="1"/>
  <c r="H13" i="3"/>
  <c r="G15" i="3"/>
  <c r="G14" i="3"/>
  <c r="G8" i="3"/>
  <c r="H5" i="4" s="1"/>
  <c r="G9" i="3"/>
  <c r="G27" i="3" l="1"/>
  <c r="H27" i="3" s="1"/>
  <c r="G28" i="3"/>
  <c r="G29" i="3" s="1"/>
  <c r="E52" i="3"/>
  <c r="F52" i="3" s="1"/>
  <c r="G52" i="3" s="1"/>
  <c r="H52" i="3" s="1"/>
  <c r="I52" i="3" s="1"/>
  <c r="J52" i="3" s="1"/>
  <c r="K52" i="3" s="1"/>
  <c r="D55" i="3"/>
  <c r="E59" i="3"/>
  <c r="F59" i="3" s="1"/>
  <c r="G59" i="3" s="1"/>
  <c r="H59" i="3" s="1"/>
  <c r="I59" i="3" s="1"/>
  <c r="J59" i="3" s="1"/>
  <c r="K59" i="3" s="1"/>
  <c r="D62" i="3"/>
  <c r="F35" i="3"/>
  <c r="E87" i="3"/>
  <c r="F28" i="4" s="1"/>
  <c r="G10" i="4"/>
  <c r="G16" i="4" s="1"/>
  <c r="F17" i="4"/>
  <c r="G33" i="3"/>
  <c r="G39" i="3"/>
  <c r="E17" i="4"/>
  <c r="E29" i="4"/>
  <c r="E18" i="4"/>
  <c r="E30" i="4"/>
  <c r="K46" i="3"/>
  <c r="D52" i="6"/>
  <c r="D59" i="6"/>
  <c r="F20" i="7"/>
  <c r="G7" i="4" s="1"/>
  <c r="F7" i="4"/>
  <c r="H8" i="6"/>
  <c r="G27" i="7"/>
  <c r="E22" i="6"/>
  <c r="F22" i="6" s="1"/>
  <c r="E22" i="7"/>
  <c r="F22" i="7" s="1"/>
  <c r="E39" i="7"/>
  <c r="F12" i="4" s="1"/>
  <c r="E39" i="6"/>
  <c r="F39" i="6" s="1"/>
  <c r="G38" i="7"/>
  <c r="F40" i="7"/>
  <c r="G21" i="7"/>
  <c r="H19" i="7"/>
  <c r="E40" i="7"/>
  <c r="D41" i="7"/>
  <c r="G27" i="6"/>
  <c r="H26" i="6"/>
  <c r="G28" i="6"/>
  <c r="G29" i="6" s="1"/>
  <c r="F34" i="7"/>
  <c r="F35" i="7" s="1"/>
  <c r="G32" i="7"/>
  <c r="H26" i="7"/>
  <c r="G28" i="7"/>
  <c r="G29" i="7" s="1"/>
  <c r="E40" i="6"/>
  <c r="D41" i="6"/>
  <c r="H13" i="6"/>
  <c r="G15" i="6"/>
  <c r="G16" i="6" s="1"/>
  <c r="H13" i="7"/>
  <c r="G15" i="7"/>
  <c r="G16" i="7" s="1"/>
  <c r="G21" i="6"/>
  <c r="H19" i="6"/>
  <c r="H9" i="7"/>
  <c r="H10" i="7" s="1"/>
  <c r="I7" i="7"/>
  <c r="G32" i="6"/>
  <c r="G83" i="6" s="1"/>
  <c r="F34" i="6"/>
  <c r="F35" i="6" s="1"/>
  <c r="G38" i="6"/>
  <c r="F40" i="6"/>
  <c r="I7" i="6"/>
  <c r="H9" i="6"/>
  <c r="H10" i="6" s="1"/>
  <c r="F33" i="7"/>
  <c r="F33" i="6"/>
  <c r="G14" i="6"/>
  <c r="H6" i="4" s="1"/>
  <c r="E87" i="7"/>
  <c r="G20" i="6"/>
  <c r="H8" i="7"/>
  <c r="E87" i="6"/>
  <c r="F29" i="4" s="1"/>
  <c r="G14" i="7"/>
  <c r="G10" i="3"/>
  <c r="G16" i="3"/>
  <c r="F20" i="3"/>
  <c r="D41" i="3"/>
  <c r="E41" i="3" s="1"/>
  <c r="F41" i="3" s="1"/>
  <c r="J70" i="3"/>
  <c r="J77" i="3" s="1"/>
  <c r="G22" i="3"/>
  <c r="H38" i="3"/>
  <c r="G40" i="3"/>
  <c r="H32" i="3"/>
  <c r="G34" i="3"/>
  <c r="I26" i="3"/>
  <c r="H28" i="3"/>
  <c r="H19" i="3"/>
  <c r="I19" i="3" s="1"/>
  <c r="J19" i="3" s="1"/>
  <c r="K19" i="3" s="1"/>
  <c r="K21" i="3" s="1"/>
  <c r="H14" i="3"/>
  <c r="I13" i="3"/>
  <c r="H15" i="3"/>
  <c r="H8" i="3"/>
  <c r="I5" i="4" s="1"/>
  <c r="H9" i="3"/>
  <c r="E62" i="3" l="1"/>
  <c r="F62" i="3" s="1"/>
  <c r="G62" i="3" s="1"/>
  <c r="H62" i="3" s="1"/>
  <c r="I62" i="3" s="1"/>
  <c r="J62" i="3" s="1"/>
  <c r="K62" i="3" s="1"/>
  <c r="G35" i="3"/>
  <c r="E55" i="3"/>
  <c r="F55" i="3" s="1"/>
  <c r="G55" i="3" s="1"/>
  <c r="H55" i="3" s="1"/>
  <c r="I55" i="3" s="1"/>
  <c r="J55" i="3" s="1"/>
  <c r="K55" i="3" s="1"/>
  <c r="I27" i="3"/>
  <c r="F87" i="3"/>
  <c r="G28" i="4" s="1"/>
  <c r="G11" i="4"/>
  <c r="G17" i="4" s="1"/>
  <c r="H39" i="3"/>
  <c r="H33" i="3"/>
  <c r="F30" i="4"/>
  <c r="H10" i="4"/>
  <c r="F18" i="4"/>
  <c r="E52" i="7"/>
  <c r="F52" i="7" s="1"/>
  <c r="G52" i="7" s="1"/>
  <c r="H52" i="7" s="1"/>
  <c r="I52" i="7" s="1"/>
  <c r="J52" i="7" s="1"/>
  <c r="K52" i="7" s="1"/>
  <c r="D55" i="7"/>
  <c r="D55" i="6"/>
  <c r="E52" i="6"/>
  <c r="F52" i="6" s="1"/>
  <c r="G52" i="6" s="1"/>
  <c r="H52" i="6" s="1"/>
  <c r="I52" i="6" s="1"/>
  <c r="J52" i="6" s="1"/>
  <c r="K52" i="6" s="1"/>
  <c r="E75" i="7"/>
  <c r="F75" i="7" s="1"/>
  <c r="G75" i="7" s="1"/>
  <c r="H75" i="7" s="1"/>
  <c r="I75" i="7" s="1"/>
  <c r="J75" i="7" s="1"/>
  <c r="K75" i="7" s="1"/>
  <c r="D78" i="7"/>
  <c r="E24" i="4" s="1"/>
  <c r="D62" i="7"/>
  <c r="E59" i="7"/>
  <c r="F59" i="7" s="1"/>
  <c r="G59" i="7" s="1"/>
  <c r="H59" i="7" s="1"/>
  <c r="I59" i="7" s="1"/>
  <c r="J59" i="7" s="1"/>
  <c r="K59" i="7" s="1"/>
  <c r="E75" i="3"/>
  <c r="F75" i="3" s="1"/>
  <c r="G75" i="3" s="1"/>
  <c r="H75" i="3" s="1"/>
  <c r="I75" i="3" s="1"/>
  <c r="J75" i="3" s="1"/>
  <c r="K75" i="3" s="1"/>
  <c r="D78" i="3"/>
  <c r="E22" i="4" s="1"/>
  <c r="D62" i="6"/>
  <c r="E59" i="6"/>
  <c r="D71" i="3"/>
  <c r="E68" i="3"/>
  <c r="E75" i="6"/>
  <c r="F75" i="6" s="1"/>
  <c r="G75" i="6" s="1"/>
  <c r="H75" i="6" s="1"/>
  <c r="I75" i="6" s="1"/>
  <c r="J75" i="6" s="1"/>
  <c r="K75" i="6" s="1"/>
  <c r="D78" i="6"/>
  <c r="E23" i="4" s="1"/>
  <c r="D71" i="7"/>
  <c r="E68" i="7"/>
  <c r="D71" i="6"/>
  <c r="E68" i="6"/>
  <c r="E91" i="6" s="1"/>
  <c r="G20" i="7"/>
  <c r="H7" i="4" s="1"/>
  <c r="F39" i="7"/>
  <c r="G12" i="4" s="1"/>
  <c r="F87" i="7"/>
  <c r="F87" i="6"/>
  <c r="I8" i="6"/>
  <c r="E41" i="7"/>
  <c r="F41" i="7" s="1"/>
  <c r="H14" i="7"/>
  <c r="E41" i="6"/>
  <c r="F41" i="6" s="1"/>
  <c r="G22" i="6"/>
  <c r="G22" i="7"/>
  <c r="H14" i="6"/>
  <c r="I6" i="4" s="1"/>
  <c r="H20" i="6"/>
  <c r="G33" i="6"/>
  <c r="H27" i="6"/>
  <c r="I26" i="6"/>
  <c r="H28" i="6"/>
  <c r="H29" i="6" s="1"/>
  <c r="H38" i="6"/>
  <c r="G40" i="6"/>
  <c r="I13" i="7"/>
  <c r="H15" i="7"/>
  <c r="H16" i="7" s="1"/>
  <c r="H28" i="7"/>
  <c r="H29" i="7" s="1"/>
  <c r="I26" i="7"/>
  <c r="G34" i="7"/>
  <c r="G35" i="7" s="1"/>
  <c r="H32" i="7"/>
  <c r="I8" i="7"/>
  <c r="G39" i="6"/>
  <c r="H32" i="6"/>
  <c r="H83" i="6" s="1"/>
  <c r="G34" i="6"/>
  <c r="G35" i="6" s="1"/>
  <c r="I13" i="6"/>
  <c r="H15" i="6"/>
  <c r="H16" i="6" s="1"/>
  <c r="H38" i="7"/>
  <c r="G40" i="7"/>
  <c r="I19" i="7"/>
  <c r="H21" i="7"/>
  <c r="G33" i="7"/>
  <c r="I19" i="6"/>
  <c r="H21" i="6"/>
  <c r="I9" i="7"/>
  <c r="I10" i="7" s="1"/>
  <c r="J7" i="7"/>
  <c r="H27" i="7"/>
  <c r="J7" i="6"/>
  <c r="I9" i="6"/>
  <c r="I10" i="6" s="1"/>
  <c r="H10" i="3"/>
  <c r="H16" i="3"/>
  <c r="G20" i="3"/>
  <c r="H29" i="3"/>
  <c r="K70" i="3"/>
  <c r="K77" i="3" s="1"/>
  <c r="G41" i="3"/>
  <c r="I21" i="3"/>
  <c r="J21" i="3"/>
  <c r="H40" i="3"/>
  <c r="I38" i="3"/>
  <c r="J26" i="3"/>
  <c r="I28" i="3"/>
  <c r="H21" i="3"/>
  <c r="H22" i="3" s="1"/>
  <c r="I32" i="3"/>
  <c r="H34" i="3"/>
  <c r="J13" i="3"/>
  <c r="I15" i="3"/>
  <c r="I14" i="3"/>
  <c r="I8" i="3"/>
  <c r="J5" i="4" s="1"/>
  <c r="I9" i="3"/>
  <c r="F68" i="7" l="1"/>
  <c r="E91" i="7"/>
  <c r="F68" i="3"/>
  <c r="E91" i="3"/>
  <c r="H35" i="3"/>
  <c r="J27" i="3"/>
  <c r="G29" i="4"/>
  <c r="G87" i="3"/>
  <c r="H28" i="4" s="1"/>
  <c r="H11" i="4"/>
  <c r="H17" i="4" s="1"/>
  <c r="I33" i="3"/>
  <c r="I39" i="3"/>
  <c r="G18" i="4"/>
  <c r="G30" i="4"/>
  <c r="H16" i="4"/>
  <c r="I10" i="4"/>
  <c r="E55" i="7"/>
  <c r="F55" i="7" s="1"/>
  <c r="G55" i="7" s="1"/>
  <c r="H55" i="7" s="1"/>
  <c r="I55" i="7" s="1"/>
  <c r="J55" i="7" s="1"/>
  <c r="K55" i="7" s="1"/>
  <c r="E71" i="6"/>
  <c r="E55" i="6"/>
  <c r="F55" i="6" s="1"/>
  <c r="G55" i="6" s="1"/>
  <c r="H55" i="6" s="1"/>
  <c r="I55" i="6" s="1"/>
  <c r="J55" i="6" s="1"/>
  <c r="K55" i="6" s="1"/>
  <c r="G39" i="7"/>
  <c r="H12" i="4" s="1"/>
  <c r="F68" i="6"/>
  <c r="F91" i="6" s="1"/>
  <c r="F59" i="6"/>
  <c r="G59" i="6" s="1"/>
  <c r="H59" i="6" s="1"/>
  <c r="I59" i="6" s="1"/>
  <c r="J59" i="6" s="1"/>
  <c r="K59" i="6" s="1"/>
  <c r="E62" i="6"/>
  <c r="E78" i="6"/>
  <c r="F23" i="4" s="1"/>
  <c r="D96" i="6"/>
  <c r="D95" i="6"/>
  <c r="E34" i="4" s="1"/>
  <c r="E71" i="7"/>
  <c r="E71" i="3"/>
  <c r="F71" i="3" s="1"/>
  <c r="E78" i="7"/>
  <c r="F24" i="4" s="1"/>
  <c r="E78" i="3"/>
  <c r="F22" i="4" s="1"/>
  <c r="D95" i="7"/>
  <c r="E35" i="4" s="1"/>
  <c r="D95" i="3"/>
  <c r="E33" i="4" s="1"/>
  <c r="E62" i="7"/>
  <c r="H20" i="7"/>
  <c r="I7" i="4" s="1"/>
  <c r="J8" i="6"/>
  <c r="G87" i="6"/>
  <c r="G87" i="7"/>
  <c r="I20" i="6"/>
  <c r="H22" i="6"/>
  <c r="H22" i="7"/>
  <c r="G41" i="7"/>
  <c r="I14" i="7"/>
  <c r="J8" i="7"/>
  <c r="G41" i="6"/>
  <c r="H39" i="6"/>
  <c r="I27" i="7"/>
  <c r="I15" i="7"/>
  <c r="I16" i="7" s="1"/>
  <c r="J13" i="7"/>
  <c r="H33" i="7"/>
  <c r="H34" i="7"/>
  <c r="H35" i="7" s="1"/>
  <c r="I32" i="7"/>
  <c r="I21" i="7"/>
  <c r="J19" i="7"/>
  <c r="J9" i="6"/>
  <c r="J10" i="6" s="1"/>
  <c r="K7" i="6"/>
  <c r="K9" i="6" s="1"/>
  <c r="I38" i="7"/>
  <c r="H40" i="7"/>
  <c r="I28" i="6"/>
  <c r="I29" i="6" s="1"/>
  <c r="J26" i="6"/>
  <c r="I32" i="6"/>
  <c r="I83" i="6" s="1"/>
  <c r="H34" i="6"/>
  <c r="H35" i="6" s="1"/>
  <c r="H33" i="6"/>
  <c r="I38" i="6"/>
  <c r="H40" i="6"/>
  <c r="K7" i="7"/>
  <c r="K9" i="7" s="1"/>
  <c r="J9" i="7"/>
  <c r="J10" i="7" s="1"/>
  <c r="J19" i="6"/>
  <c r="I21" i="6"/>
  <c r="I14" i="6"/>
  <c r="J6" i="4" s="1"/>
  <c r="J13" i="6"/>
  <c r="I15" i="6"/>
  <c r="I16" i="6" s="1"/>
  <c r="J26" i="7"/>
  <c r="I28" i="7"/>
  <c r="I29" i="7" s="1"/>
  <c r="I27" i="6"/>
  <c r="I10" i="3"/>
  <c r="I16" i="3"/>
  <c r="H20" i="3"/>
  <c r="I20" i="3" s="1"/>
  <c r="I29" i="3"/>
  <c r="I22" i="3"/>
  <c r="J22" i="3" s="1"/>
  <c r="K22" i="3" s="1"/>
  <c r="H41" i="3"/>
  <c r="J38" i="3"/>
  <c r="I40" i="3"/>
  <c r="I34" i="3"/>
  <c r="J32" i="3"/>
  <c r="K26" i="3"/>
  <c r="J28" i="3"/>
  <c r="J14" i="3"/>
  <c r="K13" i="3"/>
  <c r="K15" i="3" s="1"/>
  <c r="J15" i="3"/>
  <c r="J8" i="3"/>
  <c r="K5" i="4" s="1"/>
  <c r="J9" i="3"/>
  <c r="K9" i="3"/>
  <c r="F71" i="7" l="1"/>
  <c r="I35" i="3"/>
  <c r="G68" i="3"/>
  <c r="F91" i="3"/>
  <c r="G68" i="7"/>
  <c r="F91" i="7"/>
  <c r="K27" i="3"/>
  <c r="H87" i="3"/>
  <c r="I28" i="4" s="1"/>
  <c r="H29" i="4"/>
  <c r="I11" i="4"/>
  <c r="I17" i="4" s="1"/>
  <c r="J39" i="3"/>
  <c r="J33" i="3"/>
  <c r="I16" i="4"/>
  <c r="H18" i="4"/>
  <c r="H30" i="4"/>
  <c r="J10" i="4"/>
  <c r="L59" i="6"/>
  <c r="H39" i="7"/>
  <c r="I12" i="4" s="1"/>
  <c r="F78" i="7"/>
  <c r="G24" i="4" s="1"/>
  <c r="E95" i="3"/>
  <c r="F33" i="4" s="1"/>
  <c r="F78" i="6"/>
  <c r="G23" i="4" s="1"/>
  <c r="E95" i="7"/>
  <c r="F35" i="4" s="1"/>
  <c r="F62" i="7"/>
  <c r="F78" i="3"/>
  <c r="G22" i="4" s="1"/>
  <c r="E95" i="6"/>
  <c r="F34" i="4" s="1"/>
  <c r="F62" i="6"/>
  <c r="F71" i="6"/>
  <c r="G68" i="6"/>
  <c r="G91" i="6" s="1"/>
  <c r="I20" i="7"/>
  <c r="J7" i="4" s="1"/>
  <c r="H87" i="6"/>
  <c r="H87" i="7"/>
  <c r="I22" i="6"/>
  <c r="J20" i="6"/>
  <c r="H41" i="7"/>
  <c r="I22" i="7"/>
  <c r="K10" i="7"/>
  <c r="H41" i="6"/>
  <c r="J27" i="6"/>
  <c r="I39" i="6"/>
  <c r="I33" i="6"/>
  <c r="J28" i="7"/>
  <c r="J29" i="7" s="1"/>
  <c r="K26" i="7"/>
  <c r="I40" i="7"/>
  <c r="J38" i="7"/>
  <c r="J27" i="7"/>
  <c r="J15" i="7"/>
  <c r="J16" i="7" s="1"/>
  <c r="K13" i="7"/>
  <c r="K15" i="7" s="1"/>
  <c r="J14" i="7"/>
  <c r="J14" i="6"/>
  <c r="K6" i="4" s="1"/>
  <c r="J32" i="7"/>
  <c r="I34" i="7"/>
  <c r="I35" i="7" s="1"/>
  <c r="J32" i="6"/>
  <c r="J83" i="6" s="1"/>
  <c r="I34" i="6"/>
  <c r="I35" i="6" s="1"/>
  <c r="K10" i="6"/>
  <c r="K8" i="6"/>
  <c r="I40" i="6"/>
  <c r="J38" i="6"/>
  <c r="K19" i="7"/>
  <c r="K21" i="7" s="1"/>
  <c r="J21" i="7"/>
  <c r="K13" i="6"/>
  <c r="K15" i="6" s="1"/>
  <c r="J15" i="6"/>
  <c r="J16" i="6" s="1"/>
  <c r="J21" i="6"/>
  <c r="K19" i="6"/>
  <c r="K21" i="6" s="1"/>
  <c r="K8" i="7"/>
  <c r="K26" i="6"/>
  <c r="J28" i="6"/>
  <c r="J29" i="6" s="1"/>
  <c r="I33" i="7"/>
  <c r="J10" i="3"/>
  <c r="K10" i="3" s="1"/>
  <c r="J16" i="3"/>
  <c r="K16" i="3" s="1"/>
  <c r="J20" i="3"/>
  <c r="J29" i="3"/>
  <c r="I41" i="3"/>
  <c r="K28" i="3"/>
  <c r="K32" i="3"/>
  <c r="J34" i="3"/>
  <c r="K38" i="3"/>
  <c r="K40" i="3" s="1"/>
  <c r="J40" i="3"/>
  <c r="K14" i="3"/>
  <c r="K8" i="3"/>
  <c r="L5" i="4" s="1"/>
  <c r="J35" i="3" l="1"/>
  <c r="H68" i="7"/>
  <c r="G91" i="7"/>
  <c r="G71" i="7"/>
  <c r="H68" i="3"/>
  <c r="G91" i="3"/>
  <c r="G71" i="3"/>
  <c r="K28" i="7"/>
  <c r="K29" i="7" s="1"/>
  <c r="K28" i="6"/>
  <c r="K29" i="6" s="1"/>
  <c r="I87" i="3"/>
  <c r="J28" i="4" s="1"/>
  <c r="I29" i="4"/>
  <c r="K33" i="3"/>
  <c r="K39" i="3"/>
  <c r="J11" i="4"/>
  <c r="J17" i="4" s="1"/>
  <c r="J16" i="4"/>
  <c r="I18" i="4"/>
  <c r="I30" i="4"/>
  <c r="K10" i="4"/>
  <c r="I39" i="7"/>
  <c r="J12" i="4" s="1"/>
  <c r="G78" i="6"/>
  <c r="H23" i="4" s="1"/>
  <c r="H68" i="6"/>
  <c r="H91" i="6" s="1"/>
  <c r="G71" i="6"/>
  <c r="F95" i="7"/>
  <c r="G35" i="4" s="1"/>
  <c r="F95" i="3"/>
  <c r="G33" i="4" s="1"/>
  <c r="G62" i="7"/>
  <c r="G62" i="6"/>
  <c r="F95" i="6"/>
  <c r="G34" i="4" s="1"/>
  <c r="G78" i="3"/>
  <c r="H22" i="4" s="1"/>
  <c r="G78" i="7"/>
  <c r="H24" i="4" s="1"/>
  <c r="J20" i="7"/>
  <c r="K7" i="4" s="1"/>
  <c r="J22" i="6"/>
  <c r="K22" i="6" s="1"/>
  <c r="I87" i="7"/>
  <c r="I87" i="6"/>
  <c r="I41" i="7"/>
  <c r="J22" i="7"/>
  <c r="K22" i="7" s="1"/>
  <c r="I41" i="6"/>
  <c r="J33" i="6"/>
  <c r="K20" i="6"/>
  <c r="K16" i="6"/>
  <c r="K27" i="7"/>
  <c r="K16" i="7"/>
  <c r="J33" i="7"/>
  <c r="K14" i="6"/>
  <c r="L6" i="4" s="1"/>
  <c r="K32" i="6"/>
  <c r="J34" i="6"/>
  <c r="J35" i="6" s="1"/>
  <c r="K38" i="6"/>
  <c r="K40" i="6" s="1"/>
  <c r="J40" i="6"/>
  <c r="J39" i="6"/>
  <c r="K14" i="7"/>
  <c r="K27" i="6"/>
  <c r="J34" i="7"/>
  <c r="J35" i="7" s="1"/>
  <c r="K32" i="7"/>
  <c r="K34" i="7" s="1"/>
  <c r="J40" i="7"/>
  <c r="K38" i="7"/>
  <c r="K40" i="7" s="1"/>
  <c r="K29" i="3"/>
  <c r="K20" i="3"/>
  <c r="K34" i="3"/>
  <c r="K35" i="3" s="1"/>
  <c r="J41" i="3"/>
  <c r="K41" i="3" s="1"/>
  <c r="H71" i="7" l="1"/>
  <c r="H71" i="3"/>
  <c r="I68" i="3"/>
  <c r="H91" i="3"/>
  <c r="I68" i="7"/>
  <c r="H91" i="7"/>
  <c r="J87" i="3"/>
  <c r="K28" i="4" s="1"/>
  <c r="J29" i="4"/>
  <c r="K39" i="6"/>
  <c r="K11" i="4"/>
  <c r="K17" i="4" s="1"/>
  <c r="K16" i="4"/>
  <c r="J18" i="4"/>
  <c r="J30" i="4"/>
  <c r="L10" i="4"/>
  <c r="J39" i="7"/>
  <c r="K12" i="4" s="1"/>
  <c r="H71" i="6"/>
  <c r="H62" i="6"/>
  <c r="G95" i="7"/>
  <c r="H35" i="4" s="1"/>
  <c r="H62" i="7"/>
  <c r="H78" i="3"/>
  <c r="I22" i="4" s="1"/>
  <c r="I68" i="6"/>
  <c r="I91" i="6" s="1"/>
  <c r="H78" i="6"/>
  <c r="I23" i="4" s="1"/>
  <c r="H78" i="7"/>
  <c r="I24" i="4" s="1"/>
  <c r="G95" i="6"/>
  <c r="H34" i="4" s="1"/>
  <c r="G95" i="3"/>
  <c r="H33" i="4" s="1"/>
  <c r="K20" i="7"/>
  <c r="L7" i="4" s="1"/>
  <c r="K34" i="6"/>
  <c r="K35" i="6" s="1"/>
  <c r="K83" i="6"/>
  <c r="L83" i="6" s="1"/>
  <c r="J87" i="6"/>
  <c r="J87" i="7"/>
  <c r="J41" i="7"/>
  <c r="K41" i="7" s="1"/>
  <c r="J41" i="6"/>
  <c r="K41" i="6" s="1"/>
  <c r="K33" i="7"/>
  <c r="K35" i="7"/>
  <c r="K33" i="6"/>
  <c r="J68" i="7" l="1"/>
  <c r="I91" i="7"/>
  <c r="I71" i="7"/>
  <c r="J68" i="3"/>
  <c r="I91" i="3"/>
  <c r="I71" i="3"/>
  <c r="J71" i="3" s="1"/>
  <c r="K87" i="3"/>
  <c r="L28" i="4" s="1"/>
  <c r="K29" i="4"/>
  <c r="L11" i="4"/>
  <c r="L17" i="4" s="1"/>
  <c r="K18" i="4"/>
  <c r="K30" i="4"/>
  <c r="L16" i="4"/>
  <c r="K39" i="7"/>
  <c r="L12" i="4" s="1"/>
  <c r="I78" i="7"/>
  <c r="J24" i="4" s="1"/>
  <c r="I78" i="6"/>
  <c r="J23" i="4" s="1"/>
  <c r="I78" i="3"/>
  <c r="J22" i="4" s="1"/>
  <c r="H95" i="3"/>
  <c r="I33" i="4" s="1"/>
  <c r="I71" i="6"/>
  <c r="J68" i="6"/>
  <c r="J91" i="6" s="1"/>
  <c r="I62" i="7"/>
  <c r="H95" i="7"/>
  <c r="I35" i="4" s="1"/>
  <c r="H95" i="6"/>
  <c r="I34" i="4" s="1"/>
  <c r="I62" i="6"/>
  <c r="K87" i="6"/>
  <c r="K87" i="7"/>
  <c r="J71" i="7" l="1"/>
  <c r="K68" i="3"/>
  <c r="K91" i="3" s="1"/>
  <c r="J91" i="3"/>
  <c r="K68" i="7"/>
  <c r="K91" i="7" s="1"/>
  <c r="J91" i="7"/>
  <c r="L29" i="4"/>
  <c r="L18" i="4"/>
  <c r="L30" i="4"/>
  <c r="J71" i="6"/>
  <c r="J78" i="3"/>
  <c r="K22" i="4" s="1"/>
  <c r="J62" i="7"/>
  <c r="J78" i="6"/>
  <c r="K23" i="4" s="1"/>
  <c r="I95" i="6"/>
  <c r="J34" i="4" s="1"/>
  <c r="K68" i="6"/>
  <c r="K91" i="6" s="1"/>
  <c r="I95" i="3"/>
  <c r="J33" i="4" s="1"/>
  <c r="J62" i="6"/>
  <c r="J78" i="7"/>
  <c r="K24" i="4" s="1"/>
  <c r="I95" i="7"/>
  <c r="J35" i="4" s="1"/>
  <c r="K71" i="3" l="1"/>
  <c r="K71" i="7"/>
  <c r="K78" i="6"/>
  <c r="L23" i="4" s="1"/>
  <c r="J95" i="3"/>
  <c r="K33" i="4" s="1"/>
  <c r="K62" i="7"/>
  <c r="K78" i="7"/>
  <c r="L24" i="4" s="1"/>
  <c r="L94" i="6"/>
  <c r="K71" i="6"/>
  <c r="J95" i="6"/>
  <c r="K34" i="4" s="1"/>
  <c r="K62" i="6"/>
  <c r="J95" i="7"/>
  <c r="K35" i="4" s="1"/>
  <c r="K78" i="3"/>
  <c r="L22" i="4" s="1"/>
  <c r="K95" i="6" l="1"/>
  <c r="L34" i="4" s="1"/>
  <c r="K95" i="3"/>
  <c r="L33" i="4" s="1"/>
  <c r="K95" i="7"/>
  <c r="L35" i="4" s="1"/>
</calcChain>
</file>

<file path=xl/comments1.xml><?xml version="1.0" encoding="utf-8"?>
<comments xmlns="http://schemas.openxmlformats.org/spreadsheetml/2006/main">
  <authors>
    <author>CP Butts</author>
  </authors>
  <commentList>
    <comment ref="R6" authorId="0">
      <text>
        <r>
          <rPr>
            <b/>
            <sz val="9"/>
            <color indexed="81"/>
            <rFont val="Tahoma"/>
            <charset val="1"/>
          </rPr>
          <t>CP Butts:</t>
        </r>
        <r>
          <rPr>
            <sz val="9"/>
            <color indexed="81"/>
            <rFont val="Tahoma"/>
            <charset val="1"/>
          </rPr>
          <t xml:space="preserve">
This price doesn't affect anything except the 'Change to BOC from Oxford Instruments' options.
Most people can ignore it.</t>
        </r>
      </text>
    </comment>
    <comment ref="R7" authorId="0">
      <text>
        <r>
          <rPr>
            <b/>
            <sz val="9"/>
            <color indexed="81"/>
            <rFont val="Tahoma"/>
            <charset val="1"/>
          </rPr>
          <t>CP Butts:</t>
        </r>
        <r>
          <rPr>
            <sz val="9"/>
            <color indexed="81"/>
            <rFont val="Tahoma"/>
            <charset val="1"/>
          </rPr>
          <t xml:space="preserve">
See this price to whatever it is you pay! (Remember to include VAT).</t>
        </r>
      </text>
    </comment>
    <comment ref="R8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Set this value to 'move' a few years into the future. Basically it will increment the BOC 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will especially affect the maintenance costs in later years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Either 20% of 0% depending on whether your unit pays VAT.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Default is quoted price for direct recovery ATL160 system (giving ~80% helium recovery)
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Estimated additional cost of a 'medium pressure' buffered recovery ATL system (giving 90% He recovery)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An approximate price for installation of ATL systems above.
Could easily be £0!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value is the % of helium boil-off which is captured by a bag system (so &lt;100% reflects instruments you can't include in He recovery, or losses in the valves/lines from the magnet).
THIS IS NOT the 10% unrecovered by ATL. That is accounted for elsewhere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is the cost of 'topping up' liquid helium to account for instruments not connected for losses from the valves/lines (i.e. from the value above)
THIS IS NOT the 10% unrecovered by ATL. That is accounted for elsewhere</t>
        </r>
      </text>
    </comment>
    <comment ref="R25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is the charge to get somebody else to do your Helium fills for you.
You can approximate this at £700/fill at the moment (based on discussions with Oxford Instruments).
This will only affect the BOC vs Oxford Instruments comparison
</t>
        </r>
      </text>
    </comment>
    <comment ref="R27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Based on estimates from ATL for constant liquification.</t>
        </r>
      </text>
    </comment>
    <comment ref="R28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Make this what you like. This price is a very rough estimate - and might be completely wrong!</t>
        </r>
      </text>
    </comment>
    <comment ref="R30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Based on a quote for a system at another installation.</t>
        </r>
      </text>
    </comment>
    <comment ref="R31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Based on a quote for a system at another installation.</t>
        </r>
      </text>
    </comment>
    <comment ref="R32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Based on a quote for a system at another installation.</t>
        </r>
      </text>
    </comment>
    <comment ref="R34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is calculated as a % of the Helium Price (cell R8). 
50% of market rate might be a reasonable place to start</t>
        </r>
      </text>
    </comment>
    <comment ref="R36" authorId="0">
      <text>
        <r>
          <rPr>
            <b/>
            <sz val="9"/>
            <color indexed="81"/>
            <rFont val="Tahoma"/>
            <family val="2"/>
          </rPr>
          <t>CP Butts:</t>
        </r>
        <r>
          <rPr>
            <sz val="9"/>
            <color indexed="81"/>
            <rFont val="Tahoma"/>
            <family val="2"/>
          </rPr>
          <t xml:space="preserve">
This is calculated as a % of the Helium Price (cell R8). 
50% of market rate might be a reasonable place to start</t>
        </r>
      </text>
    </comment>
  </commentList>
</comments>
</file>

<file path=xl/sharedStrings.xml><?xml version="1.0" encoding="utf-8"?>
<sst xmlns="http://schemas.openxmlformats.org/spreadsheetml/2006/main" count="551" uniqueCount="117">
  <si>
    <t>Litres</t>
  </si>
  <si>
    <t>Current Liquid Helium Usage/annum</t>
  </si>
  <si>
    <t>ml/hour</t>
  </si>
  <si>
    <t>L per day</t>
  </si>
  <si>
    <t>L/annum</t>
  </si>
  <si>
    <t>2013/14 Price</t>
  </si>
  <si>
    <t>£/annum</t>
  </si>
  <si>
    <t>£/L</t>
  </si>
  <si>
    <t>2012/13</t>
  </si>
  <si>
    <t>Delivery</t>
  </si>
  <si>
    <t>Bruker</t>
  </si>
  <si>
    <t>Agilent</t>
  </si>
  <si>
    <t>800MHz</t>
  </si>
  <si>
    <t>700MHz</t>
  </si>
  <si>
    <t>Project 2020/21 Price</t>
  </si>
  <si>
    <t>Conservative (5% infl.)</t>
  </si>
  <si>
    <t>Likely (20% infl.)</t>
  </si>
  <si>
    <t>Upper Limit (30% infl.)</t>
  </si>
  <si>
    <t>Projected Liquid Helium Usage/annum WITH Bruker 800MHz</t>
  </si>
  <si>
    <t>Projected Liquid Helium Usage/annum WITHOUT 800MHz</t>
  </si>
  <si>
    <t>600MHz</t>
  </si>
  <si>
    <t>Excl. 800MHz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</si>
  <si>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</si>
  <si>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</si>
  <si>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</si>
  <si>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</si>
  <si>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</si>
  <si>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</si>
  <si>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</si>
  <si>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</si>
  <si>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Running Total</t>
  </si>
  <si>
    <t>Current Oxford Instruments Supply</t>
  </si>
  <si>
    <t>Direct BOC Supply (lose Wheeler underwritten fill service, and guarantee of supply)</t>
  </si>
  <si>
    <t>Oxford Instruments Supply</t>
  </si>
  <si>
    <t>BOC Supply</t>
  </si>
  <si>
    <t>Projected 2020/21 Price</t>
  </si>
  <si>
    <t>Upper limit Helium Costs (30% infl.)</t>
  </si>
  <si>
    <t>Conservative Helium Costs (10% infl.)</t>
  </si>
  <si>
    <t>Conservative (10% infl.)</t>
  </si>
  <si>
    <t>Recent Helium Costs (20% infl.)</t>
  </si>
  <si>
    <t>Recent (20% infl.)</t>
  </si>
  <si>
    <t>Incl. 800MHz from 2015/16</t>
  </si>
  <si>
    <t>Purchase/Maintenance (5% infl)</t>
  </si>
  <si>
    <t xml:space="preserve">Based on an NMR Facility using </t>
  </si>
  <si>
    <t>L/annum (excl. 800 MHz @ Bristol)</t>
  </si>
  <si>
    <t>Direct Recovery (80% recovery)</t>
  </si>
  <si>
    <t>Buffered Recovery (90% recovery)</t>
  </si>
  <si>
    <t>Years to Payback based on usage and Helium inflation</t>
  </si>
  <si>
    <t>8 years</t>
  </si>
  <si>
    <t>6 years</t>
  </si>
  <si>
    <t>5 years</t>
  </si>
  <si>
    <t>4 years</t>
  </si>
  <si>
    <t>Liquifying our own (with external fills, excluding 800MHz)</t>
  </si>
  <si>
    <t>Liquifying our own (DIY fills, excluding 800MHz)</t>
  </si>
  <si>
    <t>Installation</t>
  </si>
  <si>
    <t>1 year</t>
  </si>
  <si>
    <t>2 years</t>
  </si>
  <si>
    <t>3 years</t>
  </si>
  <si>
    <t>7 year</t>
  </si>
  <si>
    <t>Top-up' of 20% + ECP300scb/FT-ICR (£5k)</t>
  </si>
  <si>
    <t>Buffered 90% Recovery system</t>
  </si>
  <si>
    <t>Current (2012/13)</t>
  </si>
  <si>
    <t>Oxford Instruments</t>
  </si>
  <si>
    <t>Helium Prices (inc. VAT)</t>
  </si>
  <si>
    <t>ATl160 Purchase Price</t>
  </si>
  <si>
    <t>VAT on purchase</t>
  </si>
  <si>
    <t>Vat Free</t>
  </si>
  <si>
    <t>VAT Inclusive</t>
  </si>
  <si>
    <t>ATL Annual Maintenance</t>
  </si>
  <si>
    <t>kWh</t>
  </si>
  <si>
    <t>Electricity cost/unit</t>
  </si>
  <si>
    <t>ATL Installation</t>
  </si>
  <si>
    <t>VAT Free</t>
  </si>
  <si>
    <t xml:space="preserve">ATL Buffered Recovery </t>
  </si>
  <si>
    <t>Electricity</t>
  </si>
  <si>
    <t>Capture-and-Compress Gas</t>
  </si>
  <si>
    <t>ATL Electricity usage</t>
  </si>
  <si>
    <t>External Helium Fill charge (Ox Inst)</t>
  </si>
  <si>
    <t>Capture/Compress system</t>
  </si>
  <si>
    <t>C/C Installation</t>
  </si>
  <si>
    <t>C/C Maintenance</t>
  </si>
  <si>
    <t>Sales of Helium Gas to Physics</t>
  </si>
  <si>
    <t>Sell to Physic and buy Helium from BOC</t>
  </si>
  <si>
    <t>Physics Liquify and return (for a fee)</t>
  </si>
  <si>
    <t>Physics Fee for service</t>
  </si>
  <si>
    <t>Top-up Helium (+He infl.)</t>
  </si>
  <si>
    <t>Move to BOC  (Running Total)</t>
  </si>
  <si>
    <t>Physics Liquification Fee (£X/L)/Total</t>
  </si>
  <si>
    <t>COSTS</t>
  </si>
  <si>
    <t>Moving to BOC</t>
  </si>
  <si>
    <t>Helium</t>
  </si>
  <si>
    <t>Helium Fill Fee</t>
  </si>
  <si>
    <t>SAVINGS (running total)</t>
  </si>
  <si>
    <t>Sales of Helium Gas to Physics (80% recover)</t>
  </si>
  <si>
    <t>Top-up Helium (+He infl.) +300/FTICR</t>
  </si>
  <si>
    <t xml:space="preserve">Unrecovered Helium Top-up charge </t>
  </si>
  <si>
    <t>% Recovered Helium (to gas bag/compressor)</t>
  </si>
  <si>
    <t>Helium-fill Charge</t>
  </si>
  <si>
    <t>Liquifying our own ( excluding 800MHz)</t>
  </si>
  <si>
    <t>Helium-fill Top-up Charge</t>
  </si>
  <si>
    <t>Helium-fill charge</t>
  </si>
  <si>
    <t>Time-warp' (Years ahead)</t>
  </si>
  <si>
    <t>YOUR PRICE</t>
  </si>
  <si>
    <t>Price for re-sale of Helium to Physics/Liquifier (£/liquid L)</t>
  </si>
  <si>
    <r>
      <t>Move to BOC</t>
    </r>
    <r>
      <rPr>
        <sz val="16"/>
        <color theme="1"/>
        <rFont val="Calibri"/>
        <family val="2"/>
        <scheme val="minor"/>
      </rPr>
      <t xml:space="preserve"> (vs Oxford Inst.-style Prices)</t>
    </r>
  </si>
  <si>
    <t xml:space="preserve">Capture and Compress Gas </t>
  </si>
  <si>
    <t>Liquify Your Own (ATL Liquifier, Medium Pressure Buffered)</t>
  </si>
  <si>
    <t>ASSUMES Liquification fee inc. with normal inflation</t>
  </si>
  <si>
    <t>Cost of Oxford Instruments-style pricing (Running total)</t>
  </si>
  <si>
    <t>He Inflation Rate</t>
  </si>
  <si>
    <t>Estimated 'non-Helium' Inflation Rate</t>
  </si>
  <si>
    <t>ATL Biannual coldhead exchange</t>
  </si>
  <si>
    <t>Physics Liquification Fee (£Total)</t>
  </si>
  <si>
    <t>CERTAINTY OF SUPPLY IS A PROBLEM?</t>
  </si>
  <si>
    <r>
      <t>vs BOC pricing so</t>
    </r>
    <r>
      <rPr>
        <sz val="11"/>
        <color rgb="FFFF0000"/>
        <rFont val="Calibri"/>
        <family val="2"/>
        <scheme val="minor"/>
      </rPr>
      <t xml:space="preserve"> compared to 'MOVE to BOC'</t>
    </r>
  </si>
  <si>
    <t>Assumes sale price of He increases with He inflation</t>
  </si>
  <si>
    <t>This includes 'top-up' helium for the 10% unrecovered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</si>
</sst>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£&quot;#,##0.00;[Red]\-&quot;£&quot;#,##0.00"/>
    <numFmt numFmtId="164" formatCode="0.0"/>
    <numFmt numFmtId="165" formatCode="&quot;£&quot;#,##0"/>
    <numFmt numFmtId="166" formatCode="&quot;£&quot;#,##0.00"/>
    <numFmt numFmtId="167" formatCode="&quot;£&quot;#,##0.0;[Red]\-&quot;£&quot;#,##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1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1" fontId="6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8" fillId="0" borderId="0" xfId="0" applyNumberFormat="1" applyFont="1"/>
    <xf numFmtId="1" fontId="9" fillId="0" borderId="0" xfId="0" applyNumberFormat="1" applyFont="1"/>
    <xf numFmtId="165" fontId="8" fillId="0" borderId="0" xfId="0" applyNumberFormat="1" applyFont="1"/>
    <xf numFmtId="9" fontId="1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9" fontId="0" fillId="0" borderId="0" xfId="0" applyNumberFormat="1"/>
    <xf numFmtId="166" fontId="0" fillId="0" borderId="0" xfId="0" applyNumberForma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1" fontId="12" fillId="0" borderId="0" xfId="0" applyNumberFormat="1" applyFont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/>
    <xf numFmtId="0" fontId="0" fillId="0" borderId="0" xfId="0" applyFont="1"/>
    <xf numFmtId="0" fontId="0" fillId="2" borderId="0" xfId="0" applyFill="1"/>
    <xf numFmtId="0" fontId="1" fillId="2" borderId="0" xfId="0" applyFont="1" applyFill="1"/>
    <xf numFmtId="9" fontId="1" fillId="2" borderId="0" xfId="0" applyNumberFormat="1" applyFont="1" applyFill="1"/>
    <xf numFmtId="9" fontId="1" fillId="0" borderId="0" xfId="1" applyFont="1"/>
    <xf numFmtId="0" fontId="14" fillId="0" borderId="0" xfId="0" applyFont="1"/>
    <xf numFmtId="166" fontId="1" fillId="0" borderId="0" xfId="0" applyNumberFormat="1" applyFont="1"/>
    <xf numFmtId="0" fontId="1" fillId="0" borderId="2" xfId="0" applyFont="1" applyBorder="1"/>
    <xf numFmtId="0" fontId="0" fillId="0" borderId="2" xfId="0" applyBorder="1"/>
    <xf numFmtId="8" fontId="0" fillId="0" borderId="0" xfId="0" applyNumberFormat="1"/>
    <xf numFmtId="167" fontId="6" fillId="0" borderId="0" xfId="0" applyNumberFormat="1" applyFont="1"/>
    <xf numFmtId="0" fontId="15" fillId="0" borderId="2" xfId="0" applyFont="1" applyBorder="1"/>
    <xf numFmtId="0" fontId="16" fillId="0" borderId="2" xfId="0" applyFont="1" applyBorder="1"/>
    <xf numFmtId="9" fontId="15" fillId="0" borderId="2" xfId="0" applyNumberFormat="1" applyFont="1" applyBorder="1"/>
    <xf numFmtId="9" fontId="0" fillId="0" borderId="0" xfId="1" applyFont="1"/>
    <xf numFmtId="0" fontId="2" fillId="0" borderId="0" xfId="0" quotePrefix="1" applyFont="1"/>
    <xf numFmtId="0" fontId="22" fillId="0" borderId="0" xfId="0" applyFont="1"/>
    <xf numFmtId="0" fontId="21" fillId="0" borderId="0" xfId="0" applyFont="1"/>
    <xf numFmtId="0" fontId="22" fillId="0" borderId="2" xfId="0" applyFont="1" applyBorder="1"/>
    <xf numFmtId="0" fontId="23" fillId="0" borderId="0" xfId="0" applyFont="1"/>
    <xf numFmtId="166" fontId="6" fillId="0" borderId="0" xfId="0" applyNumberFormat="1" applyFont="1"/>
    <xf numFmtId="0" fontId="0" fillId="3" borderId="0" xfId="0" applyFill="1"/>
    <xf numFmtId="1" fontId="0" fillId="0" borderId="0" xfId="0" applyNumberFormat="1" applyFont="1"/>
  </cellXfs>
  <cellStyles count="2">
    <cellStyle name="Normal" xfId="0" builtinId="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37"/>
  <sheetViews>
    <sheetView tabSelected="1" workbookViewId="0">
      <pane xSplit="2" ySplit="12" topLeftCell="C13" activePane="bottomRight" state="frozenSplit"/>
      <selection pane="topRight" activeCell="O1" sqref="O1"/>
      <selection pane="bottomLeft" activeCell="A33" sqref="A33"/>
      <selection pane="bottomRight" activeCell="R26" sqref="R26"/>
    </sheetView>
  </sheetViews>
  <sheetFormatPr defaultRowHeight="15" x14ac:dyDescent="0.25"/>
  <cols>
    <col min="1" max="1" width="41.42578125" customWidth="1"/>
    <col min="2" max="2" width="5.42578125" customWidth="1"/>
    <col min="16" max="16" width="19.42578125" customWidth="1"/>
    <col min="17" max="17" width="7.42578125" customWidth="1"/>
    <col min="18" max="18" width="14" customWidth="1"/>
    <col min="19" max="19" width="10.140625" bestFit="1" customWidth="1"/>
  </cols>
  <sheetData>
    <row r="1" spans="1:97" ht="18.75" x14ac:dyDescent="0.3">
      <c r="A1" s="8" t="s">
        <v>47</v>
      </c>
      <c r="N1" s="1"/>
    </row>
    <row r="2" spans="1:97" ht="18.75" x14ac:dyDescent="0.3">
      <c r="A2" s="8"/>
      <c r="N2" s="1"/>
      <c r="R2" s="26">
        <v>2400</v>
      </c>
      <c r="S2" s="1" t="s">
        <v>4</v>
      </c>
    </row>
    <row r="3" spans="1:97" ht="15.75" x14ac:dyDescent="0.25">
      <c r="A3" s="1" t="s">
        <v>88</v>
      </c>
      <c r="B3" s="41"/>
      <c r="C3" s="1" t="s">
        <v>109</v>
      </c>
      <c r="F3" s="1"/>
      <c r="N3" s="1"/>
      <c r="R3" s="42">
        <f>Cost_Benefit_Analysis!R2</f>
        <v>2400</v>
      </c>
      <c r="S3" s="29"/>
    </row>
    <row r="4" spans="1:97" x14ac:dyDescent="0.25">
      <c r="A4" s="1" t="s">
        <v>108</v>
      </c>
      <c r="B4" s="1"/>
      <c r="C4" s="37"/>
      <c r="D4" s="1"/>
      <c r="E4" s="1" t="s">
        <v>55</v>
      </c>
      <c r="F4" s="22" t="s">
        <v>56</v>
      </c>
      <c r="G4" s="22" t="s">
        <v>57</v>
      </c>
      <c r="H4" s="22" t="s">
        <v>51</v>
      </c>
      <c r="I4" s="1" t="s">
        <v>50</v>
      </c>
      <c r="J4" s="22" t="s">
        <v>49</v>
      </c>
      <c r="K4" s="22" t="s">
        <v>58</v>
      </c>
      <c r="L4" s="22" t="s">
        <v>48</v>
      </c>
      <c r="N4" s="1"/>
    </row>
    <row r="5" spans="1:97" x14ac:dyDescent="0.25">
      <c r="B5" s="1"/>
      <c r="C5" s="22">
        <v>0.1</v>
      </c>
      <c r="D5" s="37"/>
      <c r="E5" s="59">
        <f>'Year-on-Year Costs (10% infl)'!D8</f>
        <v>43200</v>
      </c>
      <c r="F5" s="59">
        <f>'Year-on-Year Costs (10% infl)'!E8</f>
        <v>90720</v>
      </c>
      <c r="G5" s="59">
        <f>'Year-on-Year Costs (10% infl)'!F8</f>
        <v>142992</v>
      </c>
      <c r="H5" s="59">
        <f>'Year-on-Year Costs (10% infl)'!G8</f>
        <v>200491.2</v>
      </c>
      <c r="I5" s="59">
        <f>'Year-on-Year Costs (10% infl)'!H8</f>
        <v>263740.32000000007</v>
      </c>
      <c r="J5" s="59">
        <f>'Year-on-Year Costs (10% infl)'!I8</f>
        <v>333314.35200000007</v>
      </c>
      <c r="K5" s="59">
        <f>'Year-on-Year Costs (10% infl)'!J8</f>
        <v>409845.78720000014</v>
      </c>
      <c r="L5" s="4">
        <f>'Year-on-Year Costs (10% infl)'!K8</f>
        <v>494030.36592000019</v>
      </c>
      <c r="Q5" s="10" t="s">
        <v>61</v>
      </c>
      <c r="R5" s="1" t="s">
        <v>22</v>
      </c>
    </row>
    <row r="6" spans="1:97" x14ac:dyDescent="0.25">
      <c r="A6" s="37"/>
      <c r="B6" s="1"/>
      <c r="C6" s="22">
        <v>0.2</v>
      </c>
      <c r="D6" s="37"/>
      <c r="E6" s="59">
        <f>'Year-on-Year Costs (20% infl)'!D14</f>
        <v>43200</v>
      </c>
      <c r="F6" s="59">
        <f>'Year-on-Year Costs (20% infl)'!E14</f>
        <v>95040</v>
      </c>
      <c r="G6" s="59">
        <f>'Year-on-Year Costs (20% infl)'!F14</f>
        <v>157248</v>
      </c>
      <c r="H6" s="59">
        <f>'Year-on-Year Costs (20% infl)'!G14</f>
        <v>231897.59999999998</v>
      </c>
      <c r="I6" s="59">
        <f>'Year-on-Year Costs (20% infl)'!H14</f>
        <v>321477.12</v>
      </c>
      <c r="J6" s="59">
        <f>'Year-on-Year Costs (20% infl)'!I14</f>
        <v>428972.54399999999</v>
      </c>
      <c r="K6" s="59">
        <f>'Year-on-Year Costs (20% infl)'!J14</f>
        <v>557967.05279999995</v>
      </c>
      <c r="L6" s="59">
        <f>'Year-on-Year Costs (20% infl)'!K14</f>
        <v>712760.46335999994</v>
      </c>
      <c r="N6" s="1" t="s">
        <v>63</v>
      </c>
      <c r="O6" s="1"/>
      <c r="P6" s="10" t="s">
        <v>62</v>
      </c>
      <c r="Q6" s="47">
        <v>15</v>
      </c>
      <c r="R6" s="47">
        <f>Q6*1.2</f>
        <v>18</v>
      </c>
    </row>
    <row r="7" spans="1:97" x14ac:dyDescent="0.25">
      <c r="B7" s="1"/>
      <c r="C7" s="22">
        <v>0.3</v>
      </c>
      <c r="D7" s="37"/>
      <c r="E7" s="59">
        <f>'Year-on-Year Costs (30% infl)'!D20</f>
        <v>43200</v>
      </c>
      <c r="F7" s="59">
        <f>'Year-on-Year Costs (30% infl)'!E20</f>
        <v>99360</v>
      </c>
      <c r="G7" s="59">
        <f>'Year-on-Year Costs (30% infl)'!F20</f>
        <v>172368</v>
      </c>
      <c r="H7" s="59">
        <f>'Year-on-Year Costs (30% infl)'!G20</f>
        <v>267278.40000000002</v>
      </c>
      <c r="I7" s="59">
        <f>'Year-on-Year Costs (30% infl)'!H20</f>
        <v>390661.92000000004</v>
      </c>
      <c r="J7" s="59">
        <f>'Year-on-Year Costs (30% infl)'!I20</f>
        <v>551060.49600000004</v>
      </c>
      <c r="K7" s="59">
        <f>'Year-on-Year Costs (30% infl)'!J20</f>
        <v>759578.64480000013</v>
      </c>
      <c r="L7" s="59">
        <f>'Year-on-Year Costs (30% infl)'!K20</f>
        <v>1030652.2382400002</v>
      </c>
      <c r="M7" s="4"/>
      <c r="N7" s="1"/>
      <c r="O7" s="1"/>
      <c r="P7" s="1" t="s">
        <v>102</v>
      </c>
      <c r="Q7" s="47">
        <v>6.3</v>
      </c>
      <c r="R7" s="46">
        <f>Q7*1.2^(R8+1)</f>
        <v>7.56</v>
      </c>
    </row>
    <row r="8" spans="1:97" x14ac:dyDescent="0.25">
      <c r="B8" s="1"/>
      <c r="C8" s="22"/>
      <c r="D8" s="37"/>
      <c r="E8" s="4"/>
      <c r="F8" s="4"/>
      <c r="G8" s="4"/>
      <c r="H8" s="4"/>
      <c r="I8" s="4"/>
      <c r="J8" s="4"/>
      <c r="K8" s="4"/>
      <c r="L8" s="4"/>
      <c r="M8" s="4"/>
      <c r="N8" s="1"/>
      <c r="O8" s="1"/>
      <c r="P8" s="52" t="s">
        <v>101</v>
      </c>
      <c r="Q8" s="30"/>
      <c r="R8" s="7">
        <v>0</v>
      </c>
    </row>
    <row r="9" spans="1:97" x14ac:dyDescent="0.25">
      <c r="A9" s="1" t="s">
        <v>86</v>
      </c>
      <c r="B9" s="1"/>
      <c r="C9" s="22"/>
      <c r="D9" s="37"/>
      <c r="E9" s="1" t="s">
        <v>55</v>
      </c>
      <c r="F9" s="22" t="s">
        <v>56</v>
      </c>
      <c r="G9" s="22" t="s">
        <v>57</v>
      </c>
      <c r="H9" s="22" t="s">
        <v>51</v>
      </c>
      <c r="I9" s="1" t="s">
        <v>50</v>
      </c>
      <c r="J9" s="22" t="s">
        <v>49</v>
      </c>
      <c r="K9" s="22" t="s">
        <v>58</v>
      </c>
      <c r="L9" s="22" t="s">
        <v>48</v>
      </c>
      <c r="N9" s="1" t="s">
        <v>110</v>
      </c>
      <c r="O9" s="1"/>
      <c r="P9" s="1"/>
      <c r="R9" s="27">
        <v>0.05</v>
      </c>
    </row>
    <row r="10" spans="1:97" x14ac:dyDescent="0.25">
      <c r="B10" s="1"/>
      <c r="C10" s="22">
        <v>0.1</v>
      </c>
      <c r="D10" s="37"/>
      <c r="E10" s="59">
        <f>'Year-on-Year Costs (10% infl)'!D27+'Year-on-Year Costs (10% infl)'!D46</f>
        <v>18144</v>
      </c>
      <c r="F10" s="59">
        <f>'Year-on-Year Costs (10% infl)'!E27+'Year-on-Year Costs (10% infl)'!E46</f>
        <v>38102.400000000001</v>
      </c>
      <c r="G10" s="59">
        <f>'Year-on-Year Costs (10% infl)'!F27+'Year-on-Year Costs (10% infl)'!F46</f>
        <v>60056.639999999999</v>
      </c>
      <c r="H10" s="59">
        <f>'Year-on-Year Costs (10% infl)'!G27+'Year-on-Year Costs (10% infl)'!G46</f>
        <v>84206.304000000004</v>
      </c>
      <c r="I10" s="59">
        <f>'Year-on-Year Costs (10% infl)'!H27+'Year-on-Year Costs (10% infl)'!H46</f>
        <v>110770.93440000001</v>
      </c>
      <c r="J10" s="59">
        <f>'Year-on-Year Costs (10% infl)'!I27+'Year-on-Year Costs (10% infl)'!I46</f>
        <v>139992.02784000002</v>
      </c>
      <c r="K10" s="59">
        <f>'Year-on-Year Costs (10% infl)'!J27+'Year-on-Year Costs (10% infl)'!J46</f>
        <v>172135.23062400005</v>
      </c>
      <c r="L10" s="59">
        <f>'Year-on-Year Costs (10% infl)'!K27+'Year-on-Year Costs (10% infl)'!K46</f>
        <v>207492.75368640007</v>
      </c>
      <c r="N10" s="1"/>
      <c r="O10" s="1"/>
      <c r="P10" s="1"/>
    </row>
    <row r="11" spans="1:97" x14ac:dyDescent="0.25">
      <c r="B11" s="1"/>
      <c r="C11" s="22">
        <v>0.2</v>
      </c>
      <c r="D11" s="37"/>
      <c r="E11" s="59">
        <f>'Year-on-Year Costs (20% infl)'!D33+'Year-on-Year Costs (20% infl)'!D46</f>
        <v>18144</v>
      </c>
      <c r="F11" s="59">
        <f>'Year-on-Year Costs (20% infl)'!E33+'Year-on-Year Costs (20% infl)'!E46</f>
        <v>39916.800000000003</v>
      </c>
      <c r="G11" s="59">
        <f>'Year-on-Year Costs (20% infl)'!F33+'Year-on-Year Costs (20% infl)'!F46</f>
        <v>66044.160000000003</v>
      </c>
      <c r="H11" s="59">
        <f>'Year-on-Year Costs (20% infl)'!G33+'Year-on-Year Costs (20% infl)'!G46</f>
        <v>97396.991999999998</v>
      </c>
      <c r="I11" s="59">
        <f>'Year-on-Year Costs (20% infl)'!H33+'Year-on-Year Costs (20% infl)'!H46</f>
        <v>135020.39039999997</v>
      </c>
      <c r="J11" s="59">
        <f>'Year-on-Year Costs (20% infl)'!I33+'Year-on-Year Costs (20% infl)'!I46</f>
        <v>180168.46847999995</v>
      </c>
      <c r="K11" s="59">
        <f>'Year-on-Year Costs (20% infl)'!J33+'Year-on-Year Costs (20% infl)'!J46</f>
        <v>234346.16217599993</v>
      </c>
      <c r="L11" s="59">
        <f>'Year-on-Year Costs (20% infl)'!K33+'Year-on-Year Costs (20% infl)'!K46</f>
        <v>299359.39461119991</v>
      </c>
      <c r="N11" s="1"/>
      <c r="O11" s="1"/>
      <c r="P11" s="1"/>
      <c r="R11" s="27"/>
    </row>
    <row r="12" spans="1:97" x14ac:dyDescent="0.25">
      <c r="B12" s="1"/>
      <c r="C12" s="22">
        <v>0.3</v>
      </c>
      <c r="D12" s="37"/>
      <c r="E12" s="59">
        <f>'Year-on-Year Costs (30% infl)'!D39+'Year-on-Year Costs (30% infl)'!D46</f>
        <v>18144</v>
      </c>
      <c r="F12" s="59">
        <f>'Year-on-Year Costs (30% infl)'!E39+'Year-on-Year Costs (30% infl)'!E46</f>
        <v>41731.199999999997</v>
      </c>
      <c r="G12" s="59">
        <f>'Year-on-Year Costs (30% infl)'!F39+'Year-on-Year Costs (30% infl)'!F46</f>
        <v>72394.559999999998</v>
      </c>
      <c r="H12" s="59">
        <f>'Year-on-Year Costs (30% infl)'!G39+'Year-on-Year Costs (30% infl)'!G46</f>
        <v>112256.928</v>
      </c>
      <c r="I12" s="59">
        <f>'Year-on-Year Costs (30% infl)'!H39+'Year-on-Year Costs (30% infl)'!H46</f>
        <v>164078.00640000001</v>
      </c>
      <c r="J12" s="59">
        <f>'Year-on-Year Costs (30% infl)'!I39+'Year-on-Year Costs (30% infl)'!I46</f>
        <v>231445.40832000002</v>
      </c>
      <c r="K12" s="59">
        <f>'Year-on-Year Costs (30% infl)'!J39+'Year-on-Year Costs (30% infl)'!J46</f>
        <v>319023.03081600001</v>
      </c>
      <c r="L12" s="59">
        <f>'Year-on-Year Costs (30% infl)'!K39+'Year-on-Year Costs (30% infl)'!K46</f>
        <v>432873.94006080006</v>
      </c>
      <c r="N12" s="1" t="s">
        <v>65</v>
      </c>
      <c r="O12" s="1"/>
      <c r="P12" s="1"/>
      <c r="R12" s="27">
        <v>0.2</v>
      </c>
    </row>
    <row r="13" spans="1:97" s="38" customFormat="1" x14ac:dyDescent="0.25">
      <c r="B13" s="39"/>
      <c r="C13" s="40"/>
      <c r="F13" s="39"/>
      <c r="M13" s="58"/>
      <c r="N13" s="1" t="s">
        <v>64</v>
      </c>
      <c r="O13" s="1"/>
      <c r="P13" s="1" t="s">
        <v>66</v>
      </c>
      <c r="Q13"/>
      <c r="R13" s="28">
        <v>150000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</row>
    <row r="14" spans="1:97" ht="26.25" x14ac:dyDescent="0.4">
      <c r="A14" s="54" t="s">
        <v>92</v>
      </c>
      <c r="B14" s="1"/>
      <c r="F14" s="1"/>
      <c r="N14" s="1"/>
      <c r="O14" s="1"/>
      <c r="P14" s="1" t="s">
        <v>67</v>
      </c>
      <c r="Q14" s="58"/>
      <c r="R14" s="57">
        <f>R13*(1+R12)</f>
        <v>180000</v>
      </c>
    </row>
    <row r="15" spans="1:97" ht="21" x14ac:dyDescent="0.35">
      <c r="A15" s="53" t="s">
        <v>104</v>
      </c>
      <c r="B15" s="1"/>
      <c r="C15" s="1"/>
      <c r="D15" s="1"/>
      <c r="E15" s="1" t="s">
        <v>55</v>
      </c>
      <c r="F15" s="22" t="s">
        <v>56</v>
      </c>
      <c r="G15" s="22" t="s">
        <v>57</v>
      </c>
      <c r="H15" s="22" t="s">
        <v>51</v>
      </c>
      <c r="I15" s="1" t="s">
        <v>50</v>
      </c>
      <c r="J15" s="22" t="s">
        <v>49</v>
      </c>
      <c r="K15" s="22" t="s">
        <v>58</v>
      </c>
      <c r="L15" s="22" t="s">
        <v>48</v>
      </c>
      <c r="N15" s="1" t="s">
        <v>73</v>
      </c>
      <c r="O15" s="1"/>
      <c r="P15" s="1" t="s">
        <v>66</v>
      </c>
      <c r="R15" s="28">
        <v>10000</v>
      </c>
    </row>
    <row r="16" spans="1:97" x14ac:dyDescent="0.25">
      <c r="A16" s="30" t="s">
        <v>113</v>
      </c>
      <c r="B16" s="1"/>
      <c r="C16" s="22">
        <v>0.1</v>
      </c>
      <c r="D16" s="1"/>
      <c r="E16" s="3">
        <f>E10-E5</f>
        <v>-25056</v>
      </c>
      <c r="F16" s="3">
        <f t="shared" ref="F16:L16" si="0">F10-F5</f>
        <v>-52617.599999999999</v>
      </c>
      <c r="G16" s="3">
        <f t="shared" si="0"/>
        <v>-82935.360000000001</v>
      </c>
      <c r="H16" s="3">
        <f t="shared" si="0"/>
        <v>-116284.89600000001</v>
      </c>
      <c r="I16" s="3">
        <f t="shared" si="0"/>
        <v>-152969.38560000004</v>
      </c>
      <c r="J16" s="3">
        <f t="shared" si="0"/>
        <v>-193322.32416000005</v>
      </c>
      <c r="K16" s="3">
        <f t="shared" si="0"/>
        <v>-237710.55657600009</v>
      </c>
      <c r="L16" s="3">
        <f t="shared" si="0"/>
        <v>-286537.61223360011</v>
      </c>
      <c r="N16" s="1"/>
      <c r="O16" s="1"/>
      <c r="P16" s="1" t="s">
        <v>67</v>
      </c>
      <c r="R16" s="57">
        <f>R15*(1+R12)</f>
        <v>12000</v>
      </c>
    </row>
    <row r="17" spans="1:20" x14ac:dyDescent="0.25">
      <c r="B17" s="1"/>
      <c r="C17" s="22">
        <v>0.2</v>
      </c>
      <c r="D17" s="1"/>
      <c r="E17" s="3">
        <f>E11-E6</f>
        <v>-25056</v>
      </c>
      <c r="F17" s="3">
        <f t="shared" ref="F17:L17" si="1">F11-F6</f>
        <v>-55123.199999999997</v>
      </c>
      <c r="G17" s="3">
        <f t="shared" si="1"/>
        <v>-91203.839999999997</v>
      </c>
      <c r="H17" s="3">
        <f t="shared" si="1"/>
        <v>-134500.60799999998</v>
      </c>
      <c r="I17" s="3">
        <f t="shared" si="1"/>
        <v>-186456.72960000002</v>
      </c>
      <c r="J17" s="3">
        <f t="shared" si="1"/>
        <v>-248804.07552000004</v>
      </c>
      <c r="K17" s="3">
        <f t="shared" si="1"/>
        <v>-323620.89062399999</v>
      </c>
      <c r="L17" s="3">
        <f t="shared" si="1"/>
        <v>-413401.06874880003</v>
      </c>
      <c r="N17" s="1" t="s">
        <v>71</v>
      </c>
      <c r="O17" s="1"/>
      <c r="P17" s="1" t="s">
        <v>72</v>
      </c>
      <c r="R17" s="28">
        <v>12000</v>
      </c>
    </row>
    <row r="18" spans="1:20" x14ac:dyDescent="0.25">
      <c r="B18" s="1"/>
      <c r="C18" s="22">
        <v>0.3</v>
      </c>
      <c r="D18" s="1"/>
      <c r="E18" s="3">
        <f t="shared" ref="E18:L18" si="2">E12-E7</f>
        <v>-25056</v>
      </c>
      <c r="F18" s="3">
        <f t="shared" si="2"/>
        <v>-57628.800000000003</v>
      </c>
      <c r="G18" s="3">
        <f t="shared" si="2"/>
        <v>-99973.440000000002</v>
      </c>
      <c r="H18" s="3">
        <f t="shared" si="2"/>
        <v>-155021.47200000001</v>
      </c>
      <c r="I18" s="3">
        <f t="shared" si="2"/>
        <v>-226583.91360000003</v>
      </c>
      <c r="J18" s="3">
        <f t="shared" si="2"/>
        <v>-319615.08768</v>
      </c>
      <c r="K18" s="3">
        <f t="shared" si="2"/>
        <v>-440555.61398400011</v>
      </c>
      <c r="L18" s="3">
        <f t="shared" si="2"/>
        <v>-597778.29817920015</v>
      </c>
      <c r="N18" s="1"/>
      <c r="O18" s="1"/>
      <c r="P18" s="1" t="s">
        <v>67</v>
      </c>
      <c r="R18" s="57">
        <f>R17*(1+R12)</f>
        <v>14400</v>
      </c>
    </row>
    <row r="19" spans="1:20" x14ac:dyDescent="0.25">
      <c r="B19" s="1"/>
      <c r="F19" s="1"/>
      <c r="N19" s="1"/>
      <c r="O19" s="1"/>
      <c r="P19" s="1"/>
    </row>
    <row r="20" spans="1:20" ht="21" x14ac:dyDescent="0.35">
      <c r="A20" s="55" t="s">
        <v>106</v>
      </c>
      <c r="B20" s="49"/>
      <c r="C20" s="48"/>
      <c r="D20" s="48"/>
      <c r="E20" s="48"/>
      <c r="F20" s="50"/>
      <c r="G20" s="50"/>
      <c r="H20" s="50"/>
      <c r="I20" s="48"/>
      <c r="J20" s="50"/>
      <c r="K20" s="50"/>
      <c r="L20" s="50"/>
      <c r="N20" s="1" t="s">
        <v>68</v>
      </c>
      <c r="O20" s="1"/>
      <c r="P20" s="1"/>
      <c r="R20" s="28">
        <v>2000</v>
      </c>
    </row>
    <row r="21" spans="1:20" x14ac:dyDescent="0.25">
      <c r="A21" s="37" t="s">
        <v>60</v>
      </c>
      <c r="C21" s="1"/>
      <c r="D21" s="1"/>
      <c r="E21" s="1" t="s">
        <v>55</v>
      </c>
      <c r="F21" s="22" t="s">
        <v>56</v>
      </c>
      <c r="G21" s="22" t="s">
        <v>57</v>
      </c>
      <c r="H21" s="22" t="s">
        <v>51</v>
      </c>
      <c r="I21" s="1" t="s">
        <v>50</v>
      </c>
      <c r="J21" s="22" t="s">
        <v>49</v>
      </c>
      <c r="K21" s="22" t="s">
        <v>58</v>
      </c>
      <c r="L21" s="22" t="s">
        <v>48</v>
      </c>
      <c r="N21" s="1" t="s">
        <v>111</v>
      </c>
      <c r="O21" s="1"/>
      <c r="P21" s="1"/>
      <c r="R21" s="28">
        <v>10000</v>
      </c>
    </row>
    <row r="22" spans="1:20" x14ac:dyDescent="0.25">
      <c r="A22" s="37" t="s">
        <v>114</v>
      </c>
      <c r="C22" s="22">
        <v>0.1</v>
      </c>
      <c r="D22" s="1"/>
      <c r="E22" s="3">
        <f>'Year-on-Year Costs (10% infl)'!D78-E10</f>
        <v>193136.4</v>
      </c>
      <c r="F22" s="3">
        <f>'Year-on-Year Costs (10% infl)'!E78-F10</f>
        <v>180393.14</v>
      </c>
      <c r="G22" s="3">
        <f>'Year-on-Year Costs (10% infl)'!F78-G10</f>
        <v>166114.58900000004</v>
      </c>
      <c r="H22" s="3">
        <f>'Year-on-Year Costs (10% infl)'!G78-H10</f>
        <v>161710.41965000003</v>
      </c>
      <c r="I22" s="3">
        <f>'Year-on-Year Costs (10% infl)'!H78-I10</f>
        <v>143844.24445250002</v>
      </c>
      <c r="J22" s="3">
        <f>'Year-on-Year Costs (10% infl)'!I78-J10</f>
        <v>136652.16775212504</v>
      </c>
      <c r="K22" s="3">
        <f>'Year-on-Year Costs (10% infl)'!J78-K10</f>
        <v>114384.58160568125</v>
      </c>
      <c r="L22" s="3">
        <f>'Year-on-Year Costs (10% infl)'!K78-L10</f>
        <v>103628.17625319777</v>
      </c>
      <c r="N22" s="1" t="s">
        <v>96</v>
      </c>
      <c r="O22" s="1"/>
      <c r="P22" s="1"/>
      <c r="R22" s="51">
        <v>1</v>
      </c>
    </row>
    <row r="23" spans="1:20" x14ac:dyDescent="0.25">
      <c r="A23" s="37" t="s">
        <v>116</v>
      </c>
      <c r="C23" s="22">
        <v>0.2</v>
      </c>
      <c r="D23" s="1"/>
      <c r="E23" s="3">
        <f>'Year-on-Year Costs (20% infl)'!D78-E11</f>
        <v>193136.4</v>
      </c>
      <c r="F23" s="3">
        <f>'Year-on-Year Costs (20% infl)'!E78-F11</f>
        <v>178760.18</v>
      </c>
      <c r="G23" s="3">
        <f>'Year-on-Year Costs (20% infl)'!F78-G11</f>
        <v>160725.82099999997</v>
      </c>
      <c r="H23" s="3">
        <f>'Year-on-Year Costs (20% infl)'!G78-H11</f>
        <v>149838.80044999998</v>
      </c>
      <c r="I23" s="3">
        <f>'Year-on-Year Costs (20% infl)'!H78-I11</f>
        <v>122019.73405250002</v>
      </c>
      <c r="J23" s="3">
        <f>'Year-on-Year Costs (20% infl)'!I78-J11</f>
        <v>100493.37117612505</v>
      </c>
      <c r="K23" s="3">
        <f>'Year-on-Year Costs (20% infl)'!J78-K11</f>
        <v>58394.743208881322</v>
      </c>
      <c r="L23" s="3">
        <f>'Year-on-Year Costs (20% infl)'!K78-L11</f>
        <v>20948.199420877907</v>
      </c>
      <c r="N23" s="1" t="s">
        <v>95</v>
      </c>
      <c r="O23" s="1"/>
      <c r="P23" s="1"/>
      <c r="R23" s="57">
        <f>(1-R22)*'Year-on-Year Costs (20% infl)'!D33</f>
        <v>0</v>
      </c>
    </row>
    <row r="24" spans="1:20" x14ac:dyDescent="0.25">
      <c r="C24" s="22">
        <v>0.3</v>
      </c>
      <c r="D24" s="1"/>
      <c r="E24" s="3">
        <f>'Year-on-Year Costs (30% infl)'!D78-E12</f>
        <v>193136.4</v>
      </c>
      <c r="F24" s="3">
        <f>'Year-on-Year Costs (30% infl)'!E78-F12</f>
        <v>177127.21999999997</v>
      </c>
      <c r="G24" s="3">
        <f>'Year-on-Year Costs (30% infl)'!F78-G12</f>
        <v>155010.46099999998</v>
      </c>
      <c r="H24" s="3">
        <f>'Year-on-Year Costs (30% infl)'!G78-H12</f>
        <v>136464.85804999998</v>
      </c>
      <c r="I24" s="3">
        <f>'Year-on-Year Costs (30% infl)'!H78-I12</f>
        <v>95867.879652499978</v>
      </c>
      <c r="J24" s="3">
        <f>'Year-on-Year Costs (30% infl)'!I78-J12</f>
        <v>54344.125320124993</v>
      </c>
      <c r="K24" s="3">
        <f>'Year-on-Year Costs (30% infl)'!J78-K12</f>
        <v>-17814.438567118777</v>
      </c>
      <c r="L24" s="3">
        <f>'Year-on-Year Costs (30% infl)'!K78-L12</f>
        <v>-99214.891483762243</v>
      </c>
      <c r="N24" s="1"/>
      <c r="O24" s="1"/>
      <c r="P24" s="1"/>
      <c r="R24" s="28"/>
    </row>
    <row r="25" spans="1:20" x14ac:dyDescent="0.25">
      <c r="N25" s="1" t="s">
        <v>77</v>
      </c>
      <c r="O25" s="1"/>
      <c r="P25" s="1"/>
      <c r="R25" s="28">
        <f>0*700</f>
        <v>0</v>
      </c>
    </row>
    <row r="26" spans="1:20" ht="21" x14ac:dyDescent="0.35">
      <c r="A26" s="55" t="s">
        <v>105</v>
      </c>
      <c r="B26" s="45"/>
      <c r="C26" s="44"/>
      <c r="D26" s="44"/>
      <c r="E26" s="45"/>
      <c r="F26" s="45"/>
      <c r="G26" s="45"/>
      <c r="H26" s="45"/>
      <c r="I26" s="45"/>
      <c r="J26" s="45"/>
      <c r="K26" s="45"/>
      <c r="L26" s="45"/>
      <c r="N26" s="1"/>
      <c r="O26" s="1"/>
      <c r="P26" s="1"/>
    </row>
    <row r="27" spans="1:20" ht="21" x14ac:dyDescent="0.35">
      <c r="A27" s="56" t="str">
        <f>'Year-on-Year Costs (10% infl)'!A81</f>
        <v>Sell to Physic and buy Helium from BOC</v>
      </c>
      <c r="C27" s="1"/>
      <c r="D27" s="1"/>
      <c r="E27" s="1" t="s">
        <v>55</v>
      </c>
      <c r="F27" s="22" t="s">
        <v>56</v>
      </c>
      <c r="G27" s="22" t="s">
        <v>57</v>
      </c>
      <c r="H27" s="22" t="s">
        <v>51</v>
      </c>
      <c r="I27" s="1" t="s">
        <v>50</v>
      </c>
      <c r="J27" s="22" t="s">
        <v>49</v>
      </c>
      <c r="K27" s="22" t="s">
        <v>58</v>
      </c>
      <c r="L27" s="22" t="s">
        <v>48</v>
      </c>
      <c r="N27" s="1" t="s">
        <v>76</v>
      </c>
      <c r="O27" s="1"/>
      <c r="P27" s="1"/>
      <c r="R27" s="11">
        <v>7</v>
      </c>
      <c r="S27" s="11" t="s">
        <v>69</v>
      </c>
    </row>
    <row r="28" spans="1:20" x14ac:dyDescent="0.25">
      <c r="A28" s="37" t="s">
        <v>114</v>
      </c>
      <c r="C28" s="22">
        <v>0.1</v>
      </c>
      <c r="D28" s="1"/>
      <c r="E28" s="3">
        <f>'Year-on-Year Costs (10% infl)'!D$87-E10</f>
        <v>20928</v>
      </c>
      <c r="F28" s="3">
        <f>'Year-on-Year Costs (10% infl)'!E$87-F10</f>
        <v>12948.799999999996</v>
      </c>
      <c r="G28" s="3">
        <f>'Year-on-Year Costs (10% infl)'!F$87-G10</f>
        <v>4071.6800000000003</v>
      </c>
      <c r="H28" s="3">
        <f>'Year-on-Year Costs (10% infl)'!G$87-H10</f>
        <v>-5798.1520000000019</v>
      </c>
      <c r="I28" s="3">
        <f>'Year-on-Year Costs (10% infl)'!H$87-I10</f>
        <v>-16765.217200000014</v>
      </c>
      <c r="J28" s="3">
        <f>'Year-on-Year Costs (10% infl)'!I$87-J10</f>
        <v>-28944.751420000015</v>
      </c>
      <c r="K28" s="3">
        <f>'Year-on-Year Costs (10% infl)'!J$87-K10</f>
        <v>-42463.78968700004</v>
      </c>
      <c r="L28" s="3">
        <f>'Year-on-Year Costs (10% infl)'!K$87-L10</f>
        <v>-57462.359936950059</v>
      </c>
      <c r="N28" s="1" t="s">
        <v>70</v>
      </c>
      <c r="O28" s="1"/>
      <c r="P28" s="1"/>
      <c r="R28" s="28">
        <v>0.05</v>
      </c>
    </row>
    <row r="29" spans="1:20" s="1" customFormat="1" x14ac:dyDescent="0.25">
      <c r="A29" s="1" t="s">
        <v>115</v>
      </c>
      <c r="B29"/>
      <c r="C29" s="22">
        <v>0.2</v>
      </c>
      <c r="E29" s="3">
        <f>'Year-on-Year Costs (20% infl)'!D$87-E11</f>
        <v>20928</v>
      </c>
      <c r="F29" s="3">
        <f>'Year-on-Year Costs (20% infl)'!E$87-F11</f>
        <v>12041.599999999999</v>
      </c>
      <c r="G29" s="3">
        <f>'Year-on-Year Costs (20% infl)'!F$87-G11</f>
        <v>1077.9199999999983</v>
      </c>
      <c r="H29" s="3">
        <f>'Year-on-Year Costs (20% infl)'!G$87-H11</f>
        <v>-12393.495999999999</v>
      </c>
      <c r="I29" s="3">
        <f>'Year-on-Year Costs (20% infl)'!H$87-I11</f>
        <v>-28889.945199999987</v>
      </c>
      <c r="J29" s="3">
        <f>'Year-on-Year Costs (20% infl)'!I$87-J11</f>
        <v>-49032.971739999979</v>
      </c>
      <c r="K29" s="3">
        <f>'Year-on-Year Costs (20% infl)'!J$87-K11</f>
        <v>-73569.25546299995</v>
      </c>
      <c r="L29" s="3">
        <f>'Year-on-Year Costs (20% infl)'!K$87-L11</f>
        <v>-103395.68039934995</v>
      </c>
      <c r="N29"/>
      <c r="O29"/>
      <c r="P29"/>
      <c r="Q29"/>
      <c r="R29" s="28"/>
      <c r="S29"/>
      <c r="T29"/>
    </row>
    <row r="30" spans="1:20" x14ac:dyDescent="0.25">
      <c r="C30" s="22">
        <v>0.3</v>
      </c>
      <c r="D30" s="1"/>
      <c r="E30" s="3">
        <f>'Year-on-Year Costs (30% infl)'!D$87-E12</f>
        <v>20928</v>
      </c>
      <c r="F30" s="3">
        <f>'Year-on-Year Costs (30% infl)'!E$87-F12</f>
        <v>11134.400000000001</v>
      </c>
      <c r="G30" s="3">
        <f>'Year-on-Year Costs (30% infl)'!F$87-G12</f>
        <v>-2097.2799999999988</v>
      </c>
      <c r="H30" s="3">
        <f>'Year-on-Year Costs (30% infl)'!G$87-H12</f>
        <v>-19823.463999999993</v>
      </c>
      <c r="I30" s="3">
        <f>'Year-on-Year Costs (30% infl)'!H$87-I12</f>
        <v>-43418.753200000006</v>
      </c>
      <c r="J30" s="3">
        <f>'Year-on-Year Costs (30% infl)'!I$87-J12</f>
        <v>-74671.441660000011</v>
      </c>
      <c r="K30" s="3">
        <f>'Year-on-Year Costs (30% infl)'!J$87-K12</f>
        <v>-115907.68978300001</v>
      </c>
      <c r="L30" s="3">
        <f>'Year-on-Year Costs (30% infl)'!K$87-L12</f>
        <v>-170152.95312415005</v>
      </c>
      <c r="N30" s="1" t="s">
        <v>78</v>
      </c>
      <c r="R30" s="28">
        <v>25000</v>
      </c>
      <c r="T30" s="1"/>
    </row>
    <row r="31" spans="1:20" x14ac:dyDescent="0.25">
      <c r="N31" s="1" t="s">
        <v>79</v>
      </c>
      <c r="R31" s="28">
        <v>5000</v>
      </c>
    </row>
    <row r="32" spans="1:20" ht="21" x14ac:dyDescent="0.35">
      <c r="A32" s="56" t="str">
        <f>'Year-on-Year Costs (10% infl)'!A89</f>
        <v>Physics Liquify and return (for a fee)</v>
      </c>
      <c r="C32" s="1"/>
      <c r="D32" s="1"/>
      <c r="E32" s="1" t="s">
        <v>55</v>
      </c>
      <c r="F32" s="22" t="s">
        <v>56</v>
      </c>
      <c r="G32" s="22" t="s">
        <v>57</v>
      </c>
      <c r="H32" s="22" t="s">
        <v>51</v>
      </c>
      <c r="I32" s="1" t="s">
        <v>50</v>
      </c>
      <c r="J32" s="22" t="s">
        <v>49</v>
      </c>
      <c r="K32" s="22" t="s">
        <v>58</v>
      </c>
      <c r="L32" s="22" t="s">
        <v>48</v>
      </c>
      <c r="N32" s="1" t="s">
        <v>80</v>
      </c>
      <c r="R32" s="28">
        <v>2000</v>
      </c>
    </row>
    <row r="33" spans="1:19" x14ac:dyDescent="0.25">
      <c r="A33" s="37" t="s">
        <v>114</v>
      </c>
      <c r="C33" s="22">
        <v>0.1</v>
      </c>
      <c r="D33" s="1"/>
      <c r="E33" s="3">
        <f>'Year-on-Year Costs (10% infl)'!D$95-E10</f>
        <v>24556.800000000003</v>
      </c>
      <c r="F33" s="3">
        <f>'Year-on-Year Costs (10% infl)'!E$95-F10</f>
        <v>20115.68</v>
      </c>
      <c r="G33" s="3">
        <f>'Year-on-Year Costs (10% infl)'!F$95-G10</f>
        <v>14654.168000000005</v>
      </c>
      <c r="H33" s="3">
        <f>'Year-on-Year Costs (10% infl)'!G$95-H10</f>
        <v>8041.4108000000124</v>
      </c>
      <c r="I33" s="3">
        <f>'Year-on-Year Costs (10% infl)'!H$95-I10</f>
        <v>132.02918000001227</v>
      </c>
      <c r="J33" s="3">
        <f>'Year-on-Year Costs (10% infl)'!I$95-J10</f>
        <v>-9235.406736999983</v>
      </c>
      <c r="K33" s="3">
        <f>'Year-on-Year Costs (10% infl)'!J$95-K10</f>
        <v>-20240.058187449991</v>
      </c>
      <c r="L33" s="3">
        <f>'Year-on-Year Costs (10% infl)'!K$95-L10</f>
        <v>-33080.670321782498</v>
      </c>
      <c r="N33" s="1"/>
      <c r="O33" s="1"/>
      <c r="P33" s="1"/>
      <c r="Q33" s="1"/>
      <c r="R33" s="43"/>
      <c r="S33" s="1"/>
    </row>
    <row r="34" spans="1:19" x14ac:dyDescent="0.25">
      <c r="A34" s="1" t="s">
        <v>107</v>
      </c>
      <c r="C34" s="22">
        <v>0.2</v>
      </c>
      <c r="D34" s="1"/>
      <c r="E34" s="3">
        <f>'Year-on-Year Costs (20% infl)'!D$95-E11</f>
        <v>24556.800000000003</v>
      </c>
      <c r="F34" s="3">
        <f>'Year-on-Year Costs (20% infl)'!E$95-F11</f>
        <v>18664.160000000003</v>
      </c>
      <c r="G34" s="3">
        <f>'Year-on-Year Costs (20% infl)'!F$95-G11</f>
        <v>9864.1520000000019</v>
      </c>
      <c r="H34" s="3">
        <f>'Year-on-Year Costs (20% infl)'!G$95-H11</f>
        <v>-2511.139599999995</v>
      </c>
      <c r="I34" s="3">
        <f>'Year-on-Year Costs (20% infl)'!H$95-I11</f>
        <v>-19267.535619999966</v>
      </c>
      <c r="J34" s="3">
        <f>'Year-on-Year Costs (20% infl)'!I$95-J11</f>
        <v>-41376.559248999954</v>
      </c>
      <c r="K34" s="3">
        <f>'Year-on-Year Costs (20% infl)'!J$95-K11</f>
        <v>-70008.803429049934</v>
      </c>
      <c r="L34" s="3">
        <f>'Year-on-Year Costs (20% infl)'!K$95-L11</f>
        <v>-106573.98306162242</v>
      </c>
      <c r="N34" s="1" t="s">
        <v>103</v>
      </c>
      <c r="R34" s="28">
        <f>0.5*R7</f>
        <v>3.78</v>
      </c>
    </row>
    <row r="35" spans="1:19" x14ac:dyDescent="0.25">
      <c r="C35" s="22">
        <v>0.3</v>
      </c>
      <c r="D35" s="1"/>
      <c r="E35" s="3">
        <f>'Year-on-Year Costs (30% infl)'!D$95-E12</f>
        <v>24556.800000000003</v>
      </c>
      <c r="F35" s="3">
        <f>'Year-on-Year Costs (30% infl)'!E$95-F12</f>
        <v>17212.640000000007</v>
      </c>
      <c r="G35" s="3">
        <f>'Year-on-Year Costs (30% infl)'!F$95-G12</f>
        <v>4783.8320000000094</v>
      </c>
      <c r="H35" s="3">
        <f>'Year-on-Year Costs (30% infl)'!G$95-H12</f>
        <v>-14399.088399999993</v>
      </c>
      <c r="I35" s="3">
        <f>'Year-on-Year Costs (30% infl)'!H$95-I12</f>
        <v>-42513.628419999994</v>
      </c>
      <c r="J35" s="3">
        <f>'Year-on-Year Costs (30% infl)'!I$95-J12</f>
        <v>-82398.111120999994</v>
      </c>
      <c r="K35" s="3">
        <f>'Year-on-Year Costs (30% infl)'!J$95-K12</f>
        <v>-137750.29834104999</v>
      </c>
      <c r="L35" s="3">
        <f>'Year-on-Year Costs (30% infl)'!K$95-L12</f>
        <v>-213385.61942130252</v>
      </c>
    </row>
    <row r="36" spans="1:19" x14ac:dyDescent="0.25">
      <c r="N36" s="1" t="s">
        <v>87</v>
      </c>
      <c r="R36" s="28">
        <f>0.5*R7</f>
        <v>3.78</v>
      </c>
    </row>
    <row r="37" spans="1:19" x14ac:dyDescent="0.25">
      <c r="N37" s="10" t="s">
        <v>112</v>
      </c>
      <c r="R37" s="57">
        <f>R36*R22*R3</f>
        <v>9072</v>
      </c>
    </row>
  </sheetData>
  <conditionalFormatting sqref="E22:L24 E26:L26 E28:L31 E33:L35">
    <cfRule type="cellIs" dxfId="3" priority="3" operator="lessThan">
      <formula>-10000</formula>
    </cfRule>
    <cfRule type="cellIs" dxfId="2" priority="4" operator="greaterThan">
      <formula>10000</formula>
    </cfRule>
  </conditionalFormatting>
  <conditionalFormatting sqref="E16:M18">
    <cfRule type="cellIs" dxfId="1" priority="1" operator="lessThan">
      <formula>-10000</formula>
    </cfRule>
    <cfRule type="cellIs" dxfId="0" priority="2" operator="greaterThan">
      <formula>10000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"/>
  <sheetViews>
    <sheetView workbookViewId="0">
      <selection activeCell="I14" sqref="I14"/>
    </sheetView>
  </sheetViews>
  <sheetFormatPr defaultRowHeight="15" x14ac:dyDescent="0.25"/>
  <cols>
    <col min="1" max="1" width="8.85546875" customWidth="1"/>
    <col min="5" max="5" width="30" customWidth="1"/>
    <col min="6" max="6" width="6" customWidth="1"/>
    <col min="10" max="10" width="13" customWidth="1"/>
    <col min="14" max="14" width="13.7109375" customWidth="1"/>
  </cols>
  <sheetData>
    <row r="2" spans="1:20" x14ac:dyDescent="0.25">
      <c r="A2" s="1" t="s">
        <v>31</v>
      </c>
      <c r="G2" s="1" t="s">
        <v>8</v>
      </c>
      <c r="H2" s="1"/>
      <c r="I2" s="1" t="s">
        <v>5</v>
      </c>
      <c r="M2" s="1" t="s">
        <v>35</v>
      </c>
    </row>
    <row r="3" spans="1:20" x14ac:dyDescent="0.25">
      <c r="F3" t="s">
        <v>0</v>
      </c>
      <c r="I3" t="s">
        <v>7</v>
      </c>
      <c r="M3" s="1" t="s">
        <v>38</v>
      </c>
      <c r="O3" s="1" t="s">
        <v>40</v>
      </c>
      <c r="Q3" s="1" t="s">
        <v>17</v>
      </c>
    </row>
    <row r="4" spans="1:20" x14ac:dyDescent="0.25">
      <c r="B4" s="10" t="s">
        <v>1</v>
      </c>
      <c r="C4" s="11"/>
      <c r="D4" s="11"/>
      <c r="E4" s="11"/>
      <c r="F4" s="11">
        <f>Cost_Benefit_Analysis!R2-400</f>
        <v>2000</v>
      </c>
      <c r="G4" s="12">
        <f>Cost_Benefit_Analysis!Q6</f>
        <v>15</v>
      </c>
      <c r="H4" s="13">
        <f>G4*F4</f>
        <v>30000</v>
      </c>
      <c r="I4" s="12">
        <f>Cost_Benefit_Analysis!R6</f>
        <v>18</v>
      </c>
      <c r="J4" s="10">
        <f>I4*F4</f>
        <v>36000</v>
      </c>
      <c r="K4" s="11"/>
      <c r="L4" s="11"/>
      <c r="M4" s="12">
        <f>I4*(1.1^7)</f>
        <v>35.076907800000022</v>
      </c>
      <c r="N4" s="11"/>
      <c r="O4" s="12">
        <f>I4*1.2^7</f>
        <v>64.497254399999989</v>
      </c>
      <c r="P4" s="11"/>
      <c r="Q4" s="12">
        <f>I4*1.3^7</f>
        <v>112.94733060000004</v>
      </c>
      <c r="R4" s="11"/>
      <c r="S4" s="11"/>
      <c r="T4" s="11"/>
    </row>
    <row r="5" spans="1:20" x14ac:dyDescent="0.25">
      <c r="B5" s="11"/>
      <c r="C5" s="11" t="s">
        <v>9</v>
      </c>
      <c r="D5" s="11"/>
      <c r="E5" s="11"/>
      <c r="F5" s="11"/>
      <c r="G5" s="12"/>
      <c r="H5" s="13">
        <f>8*185</f>
        <v>1480</v>
      </c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B6" s="1" t="s">
        <v>19</v>
      </c>
      <c r="F6" s="9">
        <f>F4+400</f>
        <v>2400</v>
      </c>
      <c r="G6" s="2">
        <f>G4</f>
        <v>15</v>
      </c>
      <c r="H6" s="3">
        <f>G6*F6</f>
        <v>36000</v>
      </c>
      <c r="I6" s="2">
        <f>I4</f>
        <v>18</v>
      </c>
      <c r="J6" s="7">
        <f>I6*F6</f>
        <v>43200</v>
      </c>
      <c r="M6" s="2">
        <f>I6*(1.1^7)</f>
        <v>35.076907800000022</v>
      </c>
      <c r="N6" s="6">
        <f>F6*M6</f>
        <v>84184.578720000049</v>
      </c>
      <c r="O6" s="2">
        <f>I6*1.2^7</f>
        <v>64.497254399999989</v>
      </c>
      <c r="P6" s="6">
        <f>F6*O6</f>
        <v>154793.41055999996</v>
      </c>
      <c r="Q6" s="2">
        <f>I6*1.3^7</f>
        <v>112.94733060000004</v>
      </c>
      <c r="R6" s="6">
        <f>F6*Q6</f>
        <v>271073.59344000008</v>
      </c>
    </row>
    <row r="7" spans="1:20" x14ac:dyDescent="0.25">
      <c r="C7" t="s">
        <v>9</v>
      </c>
      <c r="F7" s="9"/>
      <c r="G7" s="2"/>
      <c r="H7" s="3">
        <f>8*185</f>
        <v>1480</v>
      </c>
      <c r="I7" s="2"/>
    </row>
    <row r="8" spans="1:20" s="11" customFormat="1" x14ac:dyDescent="0.25">
      <c r="B8" s="10" t="s">
        <v>18</v>
      </c>
      <c r="F8" s="10">
        <f>F6+1000</f>
        <v>3400</v>
      </c>
      <c r="G8" s="12">
        <f>G6</f>
        <v>15</v>
      </c>
      <c r="H8" s="13">
        <f>G8*F8</f>
        <v>51000</v>
      </c>
      <c r="I8" s="12">
        <f>I6</f>
        <v>18</v>
      </c>
      <c r="J8" s="10">
        <f>I8*F8</f>
        <v>61200</v>
      </c>
      <c r="M8" s="12">
        <f>I8*(1.1^7)</f>
        <v>35.076907800000022</v>
      </c>
      <c r="N8" s="23">
        <f>F8*M8</f>
        <v>119261.48652000008</v>
      </c>
      <c r="O8" s="12">
        <f>I8*1.2^7</f>
        <v>64.497254399999989</v>
      </c>
      <c r="P8" s="23">
        <f>F8*O8</f>
        <v>219290.66495999997</v>
      </c>
      <c r="Q8" s="12">
        <f>I8*1.3^7</f>
        <v>112.94733060000004</v>
      </c>
      <c r="R8" s="23">
        <f>F8*Q8</f>
        <v>384020.92404000013</v>
      </c>
    </row>
    <row r="9" spans="1:20" s="11" customFormat="1" x14ac:dyDescent="0.25">
      <c r="C9" s="11" t="s">
        <v>9</v>
      </c>
      <c r="H9" s="13">
        <f>8*185</f>
        <v>1480</v>
      </c>
    </row>
    <row r="12" spans="1:20" x14ac:dyDescent="0.25">
      <c r="A12" s="1" t="s">
        <v>32</v>
      </c>
      <c r="G12" s="1" t="s">
        <v>8</v>
      </c>
      <c r="H12" s="1"/>
      <c r="I12" s="1" t="s">
        <v>5</v>
      </c>
      <c r="M12" s="1" t="s">
        <v>14</v>
      </c>
    </row>
    <row r="13" spans="1:20" x14ac:dyDescent="0.25">
      <c r="F13" t="s">
        <v>0</v>
      </c>
      <c r="I13" t="s">
        <v>7</v>
      </c>
      <c r="M13" s="1" t="s">
        <v>15</v>
      </c>
      <c r="O13" s="1" t="s">
        <v>16</v>
      </c>
      <c r="Q13" s="1" t="s">
        <v>17</v>
      </c>
    </row>
    <row r="14" spans="1:20" x14ac:dyDescent="0.25">
      <c r="B14" s="10" t="s">
        <v>1</v>
      </c>
      <c r="C14" s="11"/>
      <c r="D14" s="11"/>
      <c r="E14" s="11"/>
      <c r="F14" s="10">
        <f>F4</f>
        <v>2000</v>
      </c>
      <c r="G14" s="12">
        <f>Cost_Benefit_Analysis!Q7</f>
        <v>6.3</v>
      </c>
      <c r="H14" s="13">
        <f>G14*F14</f>
        <v>12600</v>
      </c>
      <c r="I14" s="12">
        <f>Cost_Benefit_Analysis!R7</f>
        <v>7.56</v>
      </c>
      <c r="J14" s="11">
        <f>I14*F14</f>
        <v>15120</v>
      </c>
      <c r="K14" s="11"/>
      <c r="L14" s="11"/>
      <c r="M14" s="12">
        <f>I14*(1.1^7)</f>
        <v>14.732301276000008</v>
      </c>
      <c r="N14" s="11"/>
      <c r="O14" s="12">
        <f>I14*1.2^7</f>
        <v>27.088846847999996</v>
      </c>
      <c r="P14" s="11"/>
      <c r="Q14" s="12">
        <f>I14*1.3^7</f>
        <v>47.437878852000019</v>
      </c>
      <c r="R14" s="11"/>
    </row>
    <row r="15" spans="1:20" x14ac:dyDescent="0.25">
      <c r="B15" s="11"/>
      <c r="C15" s="11" t="s">
        <v>9</v>
      </c>
      <c r="D15" s="11"/>
      <c r="E15" s="11"/>
      <c r="F15" s="10"/>
      <c r="G15" s="12"/>
      <c r="H15" s="13">
        <f>8*185</f>
        <v>1480</v>
      </c>
      <c r="I15" s="12"/>
      <c r="J15" s="11"/>
      <c r="K15" s="11"/>
      <c r="L15" s="11"/>
      <c r="M15" s="11"/>
      <c r="N15" s="11"/>
      <c r="O15" s="11"/>
      <c r="P15" s="11"/>
      <c r="Q15" s="11"/>
      <c r="R15" s="11"/>
    </row>
    <row r="16" spans="1:20" x14ac:dyDescent="0.25">
      <c r="B16" s="1" t="s">
        <v>19</v>
      </c>
      <c r="F16" s="1">
        <f>F6</f>
        <v>2400</v>
      </c>
      <c r="G16" s="2">
        <f>G14</f>
        <v>6.3</v>
      </c>
      <c r="H16" s="3">
        <f>G16*F16</f>
        <v>15120</v>
      </c>
      <c r="I16" s="2">
        <f>I14</f>
        <v>7.56</v>
      </c>
      <c r="J16">
        <f>I16*F16</f>
        <v>18144</v>
      </c>
      <c r="M16" s="2">
        <f>I16*(1.05^7)</f>
        <v>10.637679195281251</v>
      </c>
      <c r="N16" s="3">
        <f>F16*M16</f>
        <v>25530.430068675003</v>
      </c>
      <c r="O16" s="2">
        <f>I16*1.2^7</f>
        <v>27.088846847999996</v>
      </c>
      <c r="P16" s="3">
        <f>F16*O16</f>
        <v>65013.232435199992</v>
      </c>
      <c r="Q16" s="2">
        <f>I16*1.3^7</f>
        <v>47.437878852000019</v>
      </c>
      <c r="R16">
        <f>F16*Q16</f>
        <v>113850.90924480004</v>
      </c>
    </row>
    <row r="17" spans="2:18" x14ac:dyDescent="0.25">
      <c r="F17" s="1"/>
      <c r="G17" s="2"/>
      <c r="H17" s="3">
        <f>8*185</f>
        <v>1480</v>
      </c>
      <c r="I17" s="2"/>
    </row>
    <row r="18" spans="2:18" s="11" customFormat="1" x14ac:dyDescent="0.25">
      <c r="B18" s="10" t="s">
        <v>18</v>
      </c>
      <c r="F18" s="10">
        <f>F8</f>
        <v>3400</v>
      </c>
      <c r="G18" s="12">
        <f>G16</f>
        <v>6.3</v>
      </c>
      <c r="H18" s="13">
        <f>G18*F18</f>
        <v>21420</v>
      </c>
      <c r="I18" s="12">
        <f>I16</f>
        <v>7.56</v>
      </c>
      <c r="J18" s="11">
        <f>I18*F18</f>
        <v>25704</v>
      </c>
      <c r="M18" s="12">
        <f>I18*(1.05^7)</f>
        <v>10.637679195281251</v>
      </c>
      <c r="N18" s="13">
        <f>F18*M18</f>
        <v>36168.109263956256</v>
      </c>
      <c r="O18" s="12">
        <f>I18*1.2^7</f>
        <v>27.088846847999996</v>
      </c>
      <c r="P18" s="13">
        <f>F18*O18</f>
        <v>92102.079283199986</v>
      </c>
      <c r="Q18" s="12">
        <f>I18*1.3^7</f>
        <v>47.437878852000019</v>
      </c>
      <c r="R18" s="13">
        <f>F18*Q18</f>
        <v>161288.78809680007</v>
      </c>
    </row>
    <row r="19" spans="2:18" s="11" customFormat="1" x14ac:dyDescent="0.25">
      <c r="H19" s="13">
        <f>8*185</f>
        <v>1480</v>
      </c>
    </row>
    <row r="24" spans="2:18" x14ac:dyDescent="0.25">
      <c r="M24" t="s">
        <v>2</v>
      </c>
      <c r="N24" t="s">
        <v>3</v>
      </c>
      <c r="O24" t="s">
        <v>4</v>
      </c>
      <c r="P24" t="s">
        <v>7</v>
      </c>
      <c r="Q24" t="s">
        <v>6</v>
      </c>
    </row>
    <row r="25" spans="2:18" x14ac:dyDescent="0.25">
      <c r="J25" t="s">
        <v>12</v>
      </c>
      <c r="K25" t="s">
        <v>10</v>
      </c>
      <c r="M25">
        <v>140</v>
      </c>
      <c r="N25">
        <f>M25*24/1000</f>
        <v>3.36</v>
      </c>
      <c r="O25">
        <f>N25*365</f>
        <v>1226.3999999999999</v>
      </c>
      <c r="P25">
        <v>18</v>
      </c>
      <c r="Q25" s="4">
        <f>O25*P25</f>
        <v>22075.199999999997</v>
      </c>
    </row>
    <row r="26" spans="2:18" x14ac:dyDescent="0.25">
      <c r="K26" t="s">
        <v>11</v>
      </c>
      <c r="O26">
        <v>720</v>
      </c>
      <c r="P26">
        <v>18</v>
      </c>
      <c r="Q26" s="1">
        <f>O26*P26</f>
        <v>12960</v>
      </c>
    </row>
    <row r="27" spans="2:18" x14ac:dyDescent="0.25">
      <c r="J27" t="s">
        <v>13</v>
      </c>
      <c r="K27" t="s">
        <v>10</v>
      </c>
      <c r="M27">
        <v>26</v>
      </c>
      <c r="N27">
        <f>M27*24/1000</f>
        <v>0.624</v>
      </c>
      <c r="O27">
        <f>N27*365</f>
        <v>227.76</v>
      </c>
      <c r="P27">
        <v>18</v>
      </c>
      <c r="Q27" s="4">
        <f>O27*P27</f>
        <v>4099.68</v>
      </c>
    </row>
    <row r="28" spans="2:18" x14ac:dyDescent="0.25">
      <c r="K28" t="s">
        <v>11</v>
      </c>
      <c r="O28">
        <v>360</v>
      </c>
      <c r="P28">
        <v>18</v>
      </c>
      <c r="Q28" s="1">
        <f>O28*P28</f>
        <v>6480</v>
      </c>
    </row>
    <row r="29" spans="2:18" x14ac:dyDescent="0.25">
      <c r="J29" t="s">
        <v>20</v>
      </c>
      <c r="K29" t="s">
        <v>10</v>
      </c>
      <c r="M29">
        <v>16</v>
      </c>
      <c r="N29">
        <f>M29*24/1000</f>
        <v>0.38400000000000001</v>
      </c>
      <c r="O29">
        <f>N29*365</f>
        <v>140.16</v>
      </c>
      <c r="P29">
        <v>18</v>
      </c>
      <c r="Q29" s="4">
        <f>O29*P29</f>
        <v>2522.88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opLeftCell="A28" workbookViewId="0">
      <selection activeCell="I14" sqref="I14"/>
    </sheetView>
  </sheetViews>
  <sheetFormatPr defaultRowHeight="15" x14ac:dyDescent="0.25"/>
  <cols>
    <col min="1" max="1" width="35.85546875" customWidth="1"/>
    <col min="2" max="2" width="24.5703125" customWidth="1"/>
    <col min="3" max="3" width="12.28515625" customWidth="1"/>
    <col min="4" max="4" width="10" customWidth="1"/>
    <col min="5" max="5" width="12.7109375" customWidth="1"/>
    <col min="6" max="6" width="11.7109375" style="17" customWidth="1"/>
    <col min="7" max="7" width="14.140625" customWidth="1"/>
    <col min="8" max="8" width="11.140625" style="17" bestFit="1" customWidth="1"/>
    <col min="9" max="9" width="12.5703125" customWidth="1"/>
    <col min="10" max="10" width="13.42578125" style="17" customWidth="1"/>
    <col min="11" max="11" width="11.140625" bestFit="1" customWidth="1"/>
  </cols>
  <sheetData>
    <row r="2" spans="1:11" ht="18.75" x14ac:dyDescent="0.3">
      <c r="A2" s="8" t="s">
        <v>43</v>
      </c>
      <c r="B2" s="8">
        <f>'Current Situation (May 2013)'!F6</f>
        <v>2400</v>
      </c>
      <c r="C2" s="8" t="s">
        <v>44</v>
      </c>
      <c r="D2" s="16"/>
    </row>
    <row r="3" spans="1:11" ht="18.75" x14ac:dyDescent="0.3">
      <c r="A3" s="16"/>
      <c r="B3" s="8"/>
      <c r="C3" s="8"/>
      <c r="D3" s="16"/>
    </row>
    <row r="5" spans="1:11" x14ac:dyDescent="0.25">
      <c r="A5" s="1" t="s">
        <v>33</v>
      </c>
    </row>
    <row r="6" spans="1:11" x14ac:dyDescent="0.25">
      <c r="B6" s="1" t="s">
        <v>37</v>
      </c>
      <c r="D6" s="1" t="s">
        <v>22</v>
      </c>
      <c r="E6" s="1" t="s">
        <v>23</v>
      </c>
      <c r="F6" s="18" t="s">
        <v>24</v>
      </c>
      <c r="G6" s="1" t="s">
        <v>25</v>
      </c>
      <c r="H6" s="18" t="s">
        <v>26</v>
      </c>
      <c r="I6" s="1" t="s">
        <v>27</v>
      </c>
      <c r="J6" s="18" t="s">
        <v>28</v>
      </c>
      <c r="K6" s="1" t="s">
        <v>29</v>
      </c>
    </row>
    <row r="7" spans="1:11" x14ac:dyDescent="0.25">
      <c r="B7" t="s">
        <v>21</v>
      </c>
      <c r="D7" s="3">
        <f>'Current Situation (May 2013)'!J6</f>
        <v>43200</v>
      </c>
      <c r="E7" s="3">
        <f>D7*1.1</f>
        <v>47520.000000000007</v>
      </c>
      <c r="F7" s="19">
        <f t="shared" ref="F7:K7" si="0">E7*1.1</f>
        <v>52272.000000000015</v>
      </c>
      <c r="G7" s="3">
        <f t="shared" si="0"/>
        <v>57499.200000000019</v>
      </c>
      <c r="H7" s="19">
        <f t="shared" si="0"/>
        <v>63249.120000000024</v>
      </c>
      <c r="I7" s="3">
        <f t="shared" si="0"/>
        <v>69574.032000000036</v>
      </c>
      <c r="J7" s="19">
        <f t="shared" si="0"/>
        <v>76531.435200000051</v>
      </c>
      <c r="K7" s="3">
        <f t="shared" si="0"/>
        <v>84184.578720000063</v>
      </c>
    </row>
    <row r="8" spans="1:11" x14ac:dyDescent="0.25">
      <c r="B8" s="5" t="s">
        <v>30</v>
      </c>
      <c r="D8" s="4">
        <f>D7</f>
        <v>43200</v>
      </c>
      <c r="E8" s="4">
        <f>SUM(D7:E7)</f>
        <v>90720</v>
      </c>
      <c r="F8" s="20">
        <f t="shared" ref="F8:K8" si="1">E8+F7</f>
        <v>142992</v>
      </c>
      <c r="G8" s="4">
        <f t="shared" si="1"/>
        <v>200491.2</v>
      </c>
      <c r="H8" s="20">
        <f t="shared" si="1"/>
        <v>263740.32000000007</v>
      </c>
      <c r="I8" s="4">
        <f t="shared" si="1"/>
        <v>333314.35200000007</v>
      </c>
      <c r="J8" s="20">
        <f t="shared" si="1"/>
        <v>409845.78720000014</v>
      </c>
      <c r="K8" s="4">
        <f t="shared" si="1"/>
        <v>494030.36592000019</v>
      </c>
    </row>
    <row r="9" spans="1:11" s="11" customFormat="1" x14ac:dyDescent="0.25">
      <c r="B9" s="11" t="s">
        <v>41</v>
      </c>
      <c r="D9" s="13">
        <f>D7</f>
        <v>43200</v>
      </c>
      <c r="E9" s="13">
        <f>E7</f>
        <v>47520.000000000007</v>
      </c>
      <c r="F9" s="13">
        <f t="shared" ref="F9:K9" si="2">F7*(3800/2800)</f>
        <v>70940.571428571449</v>
      </c>
      <c r="G9" s="13">
        <f t="shared" si="2"/>
        <v>78034.628571428606</v>
      </c>
      <c r="H9" s="13">
        <f t="shared" si="2"/>
        <v>85838.091428571468</v>
      </c>
      <c r="I9" s="13">
        <f t="shared" si="2"/>
        <v>94421.900571428618</v>
      </c>
      <c r="J9" s="13">
        <f t="shared" si="2"/>
        <v>103864.0906285715</v>
      </c>
      <c r="K9" s="13">
        <f t="shared" si="2"/>
        <v>114250.49969142866</v>
      </c>
    </row>
    <row r="10" spans="1:11" s="11" customFormat="1" x14ac:dyDescent="0.25">
      <c r="B10" s="24" t="s">
        <v>30</v>
      </c>
      <c r="D10" s="23">
        <f>D9</f>
        <v>43200</v>
      </c>
      <c r="E10" s="23">
        <f>SUM(D9:E9)</f>
        <v>90720</v>
      </c>
      <c r="F10" s="23">
        <f t="shared" ref="F10:K10" si="3">E10+F9</f>
        <v>161660.57142857145</v>
      </c>
      <c r="G10" s="23">
        <f t="shared" si="3"/>
        <v>239695.20000000007</v>
      </c>
      <c r="H10" s="23">
        <f t="shared" si="3"/>
        <v>325533.29142857157</v>
      </c>
      <c r="I10" s="23">
        <f t="shared" si="3"/>
        <v>419955.19200000016</v>
      </c>
      <c r="J10" s="23">
        <f t="shared" si="3"/>
        <v>523819.28262857167</v>
      </c>
      <c r="K10" s="23">
        <f t="shared" si="3"/>
        <v>638069.78232000035</v>
      </c>
    </row>
    <row r="11" spans="1:11" x14ac:dyDescent="0.25">
      <c r="B11" s="5"/>
      <c r="D11" s="4"/>
      <c r="E11" s="4"/>
      <c r="F11" s="20"/>
      <c r="G11" s="4"/>
      <c r="H11" s="20"/>
      <c r="I11" s="4"/>
      <c r="J11" s="20"/>
      <c r="K11" s="4"/>
    </row>
    <row r="12" spans="1:11" x14ac:dyDescent="0.25">
      <c r="B12" s="1" t="s">
        <v>39</v>
      </c>
      <c r="D12" s="1" t="s">
        <v>22</v>
      </c>
      <c r="E12" s="1" t="s">
        <v>23</v>
      </c>
      <c r="F12" s="18" t="s">
        <v>24</v>
      </c>
      <c r="G12" s="1" t="s">
        <v>25</v>
      </c>
      <c r="H12" s="18" t="s">
        <v>26</v>
      </c>
      <c r="I12" s="1" t="s">
        <v>27</v>
      </c>
      <c r="J12" s="18" t="s">
        <v>28</v>
      </c>
      <c r="K12" s="1" t="s">
        <v>29</v>
      </c>
    </row>
    <row r="13" spans="1:11" x14ac:dyDescent="0.25">
      <c r="B13" t="s">
        <v>21</v>
      </c>
      <c r="D13" s="3">
        <f>D7</f>
        <v>43200</v>
      </c>
      <c r="E13" s="3">
        <f>D13*1.2</f>
        <v>51840</v>
      </c>
      <c r="F13" s="19">
        <f t="shared" ref="F13:K13" si="4">E13*1.2</f>
        <v>62208</v>
      </c>
      <c r="G13" s="3">
        <f t="shared" si="4"/>
        <v>74649.599999999991</v>
      </c>
      <c r="H13" s="19">
        <f t="shared" si="4"/>
        <v>89579.51999999999</v>
      </c>
      <c r="I13" s="3">
        <f t="shared" si="4"/>
        <v>107495.42399999998</v>
      </c>
      <c r="J13" s="19">
        <f t="shared" si="4"/>
        <v>128994.50879999998</v>
      </c>
      <c r="K13" s="3">
        <f t="shared" si="4"/>
        <v>154793.41055999996</v>
      </c>
    </row>
    <row r="14" spans="1:11" x14ac:dyDescent="0.25">
      <c r="B14" s="5" t="s">
        <v>30</v>
      </c>
      <c r="D14" s="4">
        <f>D13</f>
        <v>43200</v>
      </c>
      <c r="E14" s="4">
        <f>SUM(D13:E13)</f>
        <v>95040</v>
      </c>
      <c r="F14" s="20">
        <f t="shared" ref="F14:K14" si="5">E14+F13</f>
        <v>157248</v>
      </c>
      <c r="G14" s="4">
        <f t="shared" si="5"/>
        <v>231897.59999999998</v>
      </c>
      <c r="H14" s="20">
        <f t="shared" si="5"/>
        <v>321477.12</v>
      </c>
      <c r="I14" s="4">
        <f t="shared" si="5"/>
        <v>428972.54399999999</v>
      </c>
      <c r="J14" s="20">
        <f t="shared" si="5"/>
        <v>557967.05279999995</v>
      </c>
      <c r="K14" s="4">
        <f t="shared" si="5"/>
        <v>712760.46335999994</v>
      </c>
    </row>
    <row r="15" spans="1:11" s="11" customFormat="1" x14ac:dyDescent="0.25">
      <c r="B15" s="11" t="s">
        <v>41</v>
      </c>
      <c r="D15" s="13">
        <f>D13</f>
        <v>43200</v>
      </c>
      <c r="E15" s="13">
        <f>E13</f>
        <v>51840</v>
      </c>
      <c r="F15" s="13">
        <f t="shared" ref="F15:K15" si="6">F13*(3800/2800)</f>
        <v>84425.142857142855</v>
      </c>
      <c r="G15" s="13">
        <f t="shared" si="6"/>
        <v>101310.17142857143</v>
      </c>
      <c r="H15" s="13">
        <f t="shared" si="6"/>
        <v>121572.20571428571</v>
      </c>
      <c r="I15" s="13">
        <f t="shared" si="6"/>
        <v>145886.64685714286</v>
      </c>
      <c r="J15" s="13">
        <f t="shared" si="6"/>
        <v>175063.97622857141</v>
      </c>
      <c r="K15" s="13">
        <f t="shared" si="6"/>
        <v>210076.77147428566</v>
      </c>
    </row>
    <row r="16" spans="1:11" s="11" customFormat="1" x14ac:dyDescent="0.25">
      <c r="B16" s="24" t="s">
        <v>30</v>
      </c>
      <c r="D16" s="23">
        <f>D15</f>
        <v>43200</v>
      </c>
      <c r="E16" s="23">
        <f>SUM(D15:E15)</f>
        <v>95040</v>
      </c>
      <c r="F16" s="23">
        <f t="shared" ref="F16:K16" si="7">E16+F15</f>
        <v>179465.14285714284</v>
      </c>
      <c r="G16" s="23">
        <f t="shared" si="7"/>
        <v>280775.3142857143</v>
      </c>
      <c r="H16" s="23">
        <f t="shared" si="7"/>
        <v>402347.52000000002</v>
      </c>
      <c r="I16" s="23">
        <f t="shared" si="7"/>
        <v>548234.16685714293</v>
      </c>
      <c r="J16" s="23">
        <f t="shared" si="7"/>
        <v>723298.14308571431</v>
      </c>
      <c r="K16" s="23">
        <f t="shared" si="7"/>
        <v>933374.91455999995</v>
      </c>
    </row>
    <row r="17" spans="1:11" x14ac:dyDescent="0.25">
      <c r="B17" s="5"/>
      <c r="D17" s="4"/>
      <c r="E17" s="4"/>
      <c r="F17" s="20"/>
      <c r="G17" s="4"/>
      <c r="H17" s="20"/>
      <c r="I17" s="4"/>
      <c r="J17" s="20"/>
      <c r="K17" s="4"/>
    </row>
    <row r="18" spans="1:11" x14ac:dyDescent="0.25">
      <c r="B18" s="1" t="s">
        <v>36</v>
      </c>
    </row>
    <row r="19" spans="1:11" x14ac:dyDescent="0.25">
      <c r="B19" t="s">
        <v>21</v>
      </c>
      <c r="D19" s="3">
        <f>D9</f>
        <v>43200</v>
      </c>
      <c r="E19">
        <f t="shared" ref="E19:K19" si="8">D19*1.3</f>
        <v>56160</v>
      </c>
      <c r="F19" s="19">
        <f t="shared" si="8"/>
        <v>73008</v>
      </c>
      <c r="G19" s="3">
        <f t="shared" si="8"/>
        <v>94910.400000000009</v>
      </c>
      <c r="H19" s="19">
        <f t="shared" si="8"/>
        <v>123383.52000000002</v>
      </c>
      <c r="I19" s="3">
        <f t="shared" si="8"/>
        <v>160398.57600000003</v>
      </c>
      <c r="J19" s="19">
        <f t="shared" si="8"/>
        <v>208518.14880000005</v>
      </c>
      <c r="K19" s="3">
        <f t="shared" si="8"/>
        <v>271073.59344000008</v>
      </c>
    </row>
    <row r="20" spans="1:11" x14ac:dyDescent="0.25">
      <c r="B20" s="5" t="s">
        <v>30</v>
      </c>
      <c r="D20" s="4">
        <f>D19</f>
        <v>43200</v>
      </c>
      <c r="E20" s="4">
        <f t="shared" ref="E20:K20" si="9">D20+E19</f>
        <v>99360</v>
      </c>
      <c r="F20" s="20">
        <f t="shared" si="9"/>
        <v>172368</v>
      </c>
      <c r="G20" s="4">
        <f t="shared" si="9"/>
        <v>267278.40000000002</v>
      </c>
      <c r="H20" s="20">
        <f t="shared" si="9"/>
        <v>390661.92000000004</v>
      </c>
      <c r="I20" s="4">
        <f t="shared" si="9"/>
        <v>551060.49600000004</v>
      </c>
      <c r="J20" s="20">
        <f t="shared" si="9"/>
        <v>759578.64480000013</v>
      </c>
      <c r="K20" s="4">
        <f t="shared" si="9"/>
        <v>1030652.2382400002</v>
      </c>
    </row>
    <row r="21" spans="1:11" s="11" customFormat="1" x14ac:dyDescent="0.25">
      <c r="B21" s="11" t="s">
        <v>41</v>
      </c>
      <c r="D21" s="13">
        <f>D19</f>
        <v>43200</v>
      </c>
      <c r="E21" s="11">
        <f>D21*1.3</f>
        <v>56160</v>
      </c>
      <c r="F21" s="13">
        <f t="shared" ref="F21:K21" si="10">F19*(3800/2800)</f>
        <v>99082.285714285725</v>
      </c>
      <c r="G21" s="13">
        <f t="shared" si="10"/>
        <v>128806.97142857144</v>
      </c>
      <c r="H21" s="13">
        <f t="shared" si="10"/>
        <v>167449.06285714288</v>
      </c>
      <c r="I21" s="13">
        <f t="shared" si="10"/>
        <v>217683.78171428575</v>
      </c>
      <c r="J21" s="13">
        <f t="shared" si="10"/>
        <v>282988.9162285715</v>
      </c>
      <c r="K21" s="13">
        <f t="shared" si="10"/>
        <v>367885.59109714301</v>
      </c>
    </row>
    <row r="22" spans="1:11" s="11" customFormat="1" x14ac:dyDescent="0.25">
      <c r="B22" s="24" t="s">
        <v>30</v>
      </c>
      <c r="D22" s="23">
        <f>D21</f>
        <v>43200</v>
      </c>
      <c r="E22" s="23">
        <f t="shared" ref="E22:K22" si="11">D22+E21</f>
        <v>99360</v>
      </c>
      <c r="F22" s="23">
        <f t="shared" si="11"/>
        <v>198442.28571428574</v>
      </c>
      <c r="G22" s="23">
        <f t="shared" si="11"/>
        <v>327249.25714285718</v>
      </c>
      <c r="H22" s="23">
        <f t="shared" si="11"/>
        <v>494698.32000000007</v>
      </c>
      <c r="I22" s="23">
        <f t="shared" si="11"/>
        <v>712382.10171428579</v>
      </c>
      <c r="J22" s="23">
        <f t="shared" si="11"/>
        <v>995371.01794285723</v>
      </c>
      <c r="K22" s="23">
        <f t="shared" si="11"/>
        <v>1363256.6090400002</v>
      </c>
    </row>
    <row r="25" spans="1:11" x14ac:dyDescent="0.25">
      <c r="A25" s="1" t="s">
        <v>34</v>
      </c>
      <c r="B25" s="1" t="s">
        <v>37</v>
      </c>
      <c r="D25" s="1" t="s">
        <v>22</v>
      </c>
      <c r="E25" s="1" t="s">
        <v>23</v>
      </c>
      <c r="F25" s="18" t="s">
        <v>24</v>
      </c>
      <c r="G25" s="1" t="s">
        <v>25</v>
      </c>
      <c r="H25" s="18" t="s">
        <v>26</v>
      </c>
      <c r="I25" s="1" t="s">
        <v>27</v>
      </c>
      <c r="J25" s="18" t="s">
        <v>28</v>
      </c>
      <c r="K25" s="1" t="s">
        <v>29</v>
      </c>
    </row>
    <row r="26" spans="1:11" x14ac:dyDescent="0.25">
      <c r="B26" t="s">
        <v>21</v>
      </c>
      <c r="D26" s="3">
        <f>'Current Situation (May 2013)'!J16</f>
        <v>18144</v>
      </c>
      <c r="E26" s="3">
        <f>D26*1.1</f>
        <v>19958.400000000001</v>
      </c>
      <c r="F26" s="19">
        <f t="shared" ref="F26:K26" si="12">E26*1.1</f>
        <v>21954.240000000002</v>
      </c>
      <c r="G26" s="3">
        <f t="shared" si="12"/>
        <v>24149.664000000004</v>
      </c>
      <c r="H26" s="19">
        <f t="shared" si="12"/>
        <v>26564.630400000005</v>
      </c>
      <c r="I26" s="3">
        <f t="shared" si="12"/>
        <v>29221.093440000008</v>
      </c>
      <c r="J26" s="19">
        <f t="shared" si="12"/>
        <v>32143.202784000012</v>
      </c>
      <c r="K26" s="3">
        <f t="shared" si="12"/>
        <v>35357.523062400018</v>
      </c>
    </row>
    <row r="27" spans="1:11" x14ac:dyDescent="0.25">
      <c r="B27" s="5" t="s">
        <v>30</v>
      </c>
      <c r="D27" s="4">
        <f>D26</f>
        <v>18144</v>
      </c>
      <c r="E27" s="4">
        <f>SUM(D26:E26)</f>
        <v>38102.400000000001</v>
      </c>
      <c r="F27" s="20">
        <f t="shared" ref="F27:K27" si="13">E27+F26</f>
        <v>60056.639999999999</v>
      </c>
      <c r="G27" s="4">
        <f t="shared" si="13"/>
        <v>84206.304000000004</v>
      </c>
      <c r="H27" s="20">
        <f t="shared" si="13"/>
        <v>110770.93440000001</v>
      </c>
      <c r="I27" s="4">
        <f t="shared" si="13"/>
        <v>139992.02784000002</v>
      </c>
      <c r="J27" s="20">
        <f t="shared" si="13"/>
        <v>172135.23062400005</v>
      </c>
      <c r="K27" s="4">
        <f t="shared" si="13"/>
        <v>207492.75368640007</v>
      </c>
    </row>
    <row r="28" spans="1:11" s="11" customFormat="1" x14ac:dyDescent="0.25">
      <c r="B28" s="11" t="s">
        <v>41</v>
      </c>
      <c r="D28" s="13">
        <f>D26</f>
        <v>18144</v>
      </c>
      <c r="E28" s="13">
        <f>E26</f>
        <v>19958.400000000001</v>
      </c>
      <c r="F28" s="13">
        <f t="shared" ref="F28:K28" si="14">F26*(3800/2800)</f>
        <v>29795.040000000005</v>
      </c>
      <c r="G28" s="13">
        <f t="shared" si="14"/>
        <v>32774.544000000009</v>
      </c>
      <c r="H28" s="13">
        <f t="shared" si="14"/>
        <v>36051.998400000011</v>
      </c>
      <c r="I28" s="13">
        <f t="shared" si="14"/>
        <v>39657.198240000012</v>
      </c>
      <c r="J28" s="13">
        <f t="shared" si="14"/>
        <v>43622.91806400002</v>
      </c>
      <c r="K28" s="13">
        <f t="shared" si="14"/>
        <v>47985.209870400024</v>
      </c>
    </row>
    <row r="29" spans="1:11" s="11" customFormat="1" x14ac:dyDescent="0.25">
      <c r="B29" s="24" t="s">
        <v>30</v>
      </c>
      <c r="D29" s="23">
        <f>D28</f>
        <v>18144</v>
      </c>
      <c r="E29" s="23">
        <f>SUM(D28:E28)</f>
        <v>38102.400000000001</v>
      </c>
      <c r="F29" s="23">
        <f t="shared" ref="F29:K29" si="15">E29+F28</f>
        <v>67897.440000000002</v>
      </c>
      <c r="G29" s="23">
        <f t="shared" si="15"/>
        <v>100671.98400000001</v>
      </c>
      <c r="H29" s="23">
        <f t="shared" si="15"/>
        <v>136723.98240000004</v>
      </c>
      <c r="I29" s="23">
        <f t="shared" si="15"/>
        <v>176381.18064000004</v>
      </c>
      <c r="J29" s="23">
        <f t="shared" si="15"/>
        <v>220004.09870400006</v>
      </c>
      <c r="K29" s="23">
        <f t="shared" si="15"/>
        <v>267989.30857440009</v>
      </c>
    </row>
    <row r="30" spans="1:11" x14ac:dyDescent="0.25">
      <c r="A30" s="1"/>
      <c r="B30" s="5"/>
      <c r="D30" s="4"/>
      <c r="E30" s="4"/>
      <c r="F30" s="20"/>
      <c r="G30" s="4"/>
      <c r="H30" s="20"/>
      <c r="I30" s="4"/>
      <c r="J30" s="20"/>
      <c r="K30" s="4"/>
    </row>
    <row r="31" spans="1:11" x14ac:dyDescent="0.25">
      <c r="A31" s="1"/>
      <c r="B31" s="1" t="s">
        <v>39</v>
      </c>
      <c r="D31" s="1" t="s">
        <v>22</v>
      </c>
      <c r="E31" s="1" t="s">
        <v>23</v>
      </c>
      <c r="F31" s="18" t="s">
        <v>24</v>
      </c>
      <c r="G31" s="1" t="s">
        <v>25</v>
      </c>
      <c r="H31" s="18" t="s">
        <v>26</v>
      </c>
      <c r="I31" s="1" t="s">
        <v>27</v>
      </c>
      <c r="J31" s="18" t="s">
        <v>28</v>
      </c>
      <c r="K31" s="1" t="s">
        <v>29</v>
      </c>
    </row>
    <row r="32" spans="1:11" x14ac:dyDescent="0.25">
      <c r="A32" s="1"/>
      <c r="B32" t="s">
        <v>21</v>
      </c>
      <c r="D32" s="3">
        <f>D26</f>
        <v>18144</v>
      </c>
      <c r="E32" s="3">
        <f>D32*1.2</f>
        <v>21772.799999999999</v>
      </c>
      <c r="F32" s="19">
        <f t="shared" ref="F32:K32" si="16">E32*1.2</f>
        <v>26127.359999999997</v>
      </c>
      <c r="G32" s="3">
        <f t="shared" si="16"/>
        <v>31352.831999999995</v>
      </c>
      <c r="H32" s="19">
        <f t="shared" si="16"/>
        <v>37623.398399999991</v>
      </c>
      <c r="I32" s="3">
        <f t="shared" si="16"/>
        <v>45148.078079999985</v>
      </c>
      <c r="J32" s="19">
        <f t="shared" si="16"/>
        <v>54177.69369599998</v>
      </c>
      <c r="K32" s="3">
        <f t="shared" si="16"/>
        <v>65013.23243519997</v>
      </c>
    </row>
    <row r="33" spans="1:11" x14ac:dyDescent="0.25">
      <c r="A33" s="1"/>
      <c r="B33" s="5" t="s">
        <v>30</v>
      </c>
      <c r="D33" s="4">
        <f>D32</f>
        <v>18144</v>
      </c>
      <c r="E33" s="4">
        <f>SUM(D32:E32)</f>
        <v>39916.800000000003</v>
      </c>
      <c r="F33" s="20">
        <f t="shared" ref="F33:K33" si="17">E33+F32</f>
        <v>66044.160000000003</v>
      </c>
      <c r="G33" s="4">
        <f t="shared" si="17"/>
        <v>97396.991999999998</v>
      </c>
      <c r="H33" s="20">
        <f t="shared" si="17"/>
        <v>135020.39039999997</v>
      </c>
      <c r="I33" s="4">
        <f t="shared" si="17"/>
        <v>180168.46847999995</v>
      </c>
      <c r="J33" s="20">
        <f t="shared" si="17"/>
        <v>234346.16217599993</v>
      </c>
      <c r="K33" s="4">
        <f t="shared" si="17"/>
        <v>299359.39461119991</v>
      </c>
    </row>
    <row r="34" spans="1:11" s="11" customFormat="1" x14ac:dyDescent="0.25">
      <c r="A34" s="10"/>
      <c r="B34" s="11" t="s">
        <v>41</v>
      </c>
      <c r="D34" s="13">
        <f>D32</f>
        <v>18144</v>
      </c>
      <c r="E34" s="13">
        <f>E32</f>
        <v>21772.799999999999</v>
      </c>
      <c r="F34" s="13">
        <f t="shared" ref="F34:K34" si="18">F32*(3800/2800)</f>
        <v>35458.559999999998</v>
      </c>
      <c r="G34" s="13">
        <f t="shared" si="18"/>
        <v>42550.271999999997</v>
      </c>
      <c r="H34" s="13">
        <f t="shared" si="18"/>
        <v>51060.326399999991</v>
      </c>
      <c r="I34" s="13">
        <f t="shared" si="18"/>
        <v>61272.391679999979</v>
      </c>
      <c r="J34" s="13">
        <f t="shared" si="18"/>
        <v>73526.870015999972</v>
      </c>
      <c r="K34" s="13">
        <f t="shared" si="18"/>
        <v>88232.244019199963</v>
      </c>
    </row>
    <row r="35" spans="1:11" s="11" customFormat="1" x14ac:dyDescent="0.25">
      <c r="A35" s="10"/>
      <c r="B35" s="24" t="s">
        <v>30</v>
      </c>
      <c r="D35" s="23">
        <f>D34</f>
        <v>18144</v>
      </c>
      <c r="E35" s="23">
        <f>SUM(D34:E34)</f>
        <v>39916.800000000003</v>
      </c>
      <c r="F35" s="23">
        <f t="shared" ref="F35:K35" si="19">E35+F34</f>
        <v>75375.360000000001</v>
      </c>
      <c r="G35" s="23">
        <f t="shared" si="19"/>
        <v>117925.632</v>
      </c>
      <c r="H35" s="23">
        <f t="shared" si="19"/>
        <v>168985.9584</v>
      </c>
      <c r="I35" s="23">
        <f t="shared" si="19"/>
        <v>230258.35007999997</v>
      </c>
      <c r="J35" s="23">
        <f t="shared" si="19"/>
        <v>303785.22009599995</v>
      </c>
      <c r="K35" s="23">
        <f t="shared" si="19"/>
        <v>392017.46411519992</v>
      </c>
    </row>
    <row r="36" spans="1:11" x14ac:dyDescent="0.25">
      <c r="A36" s="1"/>
      <c r="B36" s="5"/>
      <c r="D36" s="4"/>
      <c r="E36" s="4"/>
      <c r="F36" s="20"/>
      <c r="G36" s="4"/>
      <c r="H36" s="20"/>
      <c r="I36" s="4"/>
      <c r="J36" s="20"/>
      <c r="K36" s="4"/>
    </row>
    <row r="37" spans="1:11" x14ac:dyDescent="0.25">
      <c r="B37" s="1" t="s">
        <v>36</v>
      </c>
    </row>
    <row r="38" spans="1:11" x14ac:dyDescent="0.25">
      <c r="B38" t="s">
        <v>21</v>
      </c>
      <c r="D38" s="3">
        <f>D28</f>
        <v>18144</v>
      </c>
      <c r="E38">
        <f t="shared" ref="E38:K38" si="20">D38*1.3</f>
        <v>23587.200000000001</v>
      </c>
      <c r="F38" s="19">
        <f t="shared" si="20"/>
        <v>30663.360000000001</v>
      </c>
      <c r="G38" s="3">
        <f t="shared" si="20"/>
        <v>39862.368000000002</v>
      </c>
      <c r="H38" s="19">
        <f t="shared" si="20"/>
        <v>51821.078400000006</v>
      </c>
      <c r="I38" s="3">
        <f t="shared" si="20"/>
        <v>67367.401920000004</v>
      </c>
      <c r="J38" s="19">
        <f t="shared" si="20"/>
        <v>87577.622496000011</v>
      </c>
      <c r="K38" s="3">
        <f t="shared" si="20"/>
        <v>113850.90924480002</v>
      </c>
    </row>
    <row r="39" spans="1:11" x14ac:dyDescent="0.25">
      <c r="B39" s="5" t="s">
        <v>30</v>
      </c>
      <c r="D39" s="4">
        <f>D38</f>
        <v>18144</v>
      </c>
      <c r="E39" s="4">
        <f t="shared" ref="E39:K39" si="21">D39+E38</f>
        <v>41731.199999999997</v>
      </c>
      <c r="F39" s="20">
        <f t="shared" si="21"/>
        <v>72394.559999999998</v>
      </c>
      <c r="G39" s="4">
        <f t="shared" si="21"/>
        <v>112256.928</v>
      </c>
      <c r="H39" s="20">
        <f t="shared" si="21"/>
        <v>164078.00640000001</v>
      </c>
      <c r="I39" s="4">
        <f t="shared" si="21"/>
        <v>231445.40832000002</v>
      </c>
      <c r="J39" s="20">
        <f t="shared" si="21"/>
        <v>319023.03081600001</v>
      </c>
      <c r="K39" s="4">
        <f t="shared" si="21"/>
        <v>432873.94006080006</v>
      </c>
    </row>
    <row r="40" spans="1:11" s="11" customFormat="1" x14ac:dyDescent="0.25">
      <c r="B40" s="11" t="s">
        <v>41</v>
      </c>
      <c r="D40" s="13">
        <f>D38</f>
        <v>18144</v>
      </c>
      <c r="E40" s="11">
        <f>D40*1.3</f>
        <v>23587.200000000001</v>
      </c>
      <c r="F40" s="13">
        <f t="shared" ref="F40:K40" si="22">F38*(3800/2800)</f>
        <v>41614.560000000005</v>
      </c>
      <c r="G40" s="13">
        <f t="shared" si="22"/>
        <v>54098.928000000007</v>
      </c>
      <c r="H40" s="13">
        <f t="shared" si="22"/>
        <v>70328.606400000004</v>
      </c>
      <c r="I40" s="13">
        <f t="shared" si="22"/>
        <v>91427.188320000016</v>
      </c>
      <c r="J40" s="13">
        <f t="shared" si="22"/>
        <v>118855.34481600003</v>
      </c>
      <c r="K40" s="13">
        <f t="shared" si="22"/>
        <v>154511.94826080004</v>
      </c>
    </row>
    <row r="41" spans="1:11" s="34" customFormat="1" x14ac:dyDescent="0.25">
      <c r="B41" s="35" t="s">
        <v>30</v>
      </c>
      <c r="D41" s="36">
        <f>D40</f>
        <v>18144</v>
      </c>
      <c r="E41" s="36">
        <f t="shared" ref="E41:K41" si="23">D41+E40</f>
        <v>41731.199999999997</v>
      </c>
      <c r="F41" s="36">
        <f t="shared" si="23"/>
        <v>83345.760000000009</v>
      </c>
      <c r="G41" s="36">
        <f t="shared" si="23"/>
        <v>137444.68800000002</v>
      </c>
      <c r="H41" s="36">
        <f t="shared" si="23"/>
        <v>207773.29440000001</v>
      </c>
      <c r="I41" s="36">
        <f t="shared" si="23"/>
        <v>299200.48272000003</v>
      </c>
      <c r="J41" s="36">
        <f t="shared" si="23"/>
        <v>418055.82753600006</v>
      </c>
      <c r="K41" s="36">
        <f t="shared" si="23"/>
        <v>572567.77579680015</v>
      </c>
    </row>
    <row r="43" spans="1:11" x14ac:dyDescent="0.25">
      <c r="A43" s="1" t="s">
        <v>89</v>
      </c>
      <c r="D43" s="1" t="s">
        <v>22</v>
      </c>
      <c r="E43" s="1" t="s">
        <v>23</v>
      </c>
      <c r="F43" s="18" t="s">
        <v>24</v>
      </c>
      <c r="G43" s="1" t="s">
        <v>25</v>
      </c>
      <c r="H43" s="18" t="s">
        <v>26</v>
      </c>
      <c r="I43" s="1" t="s">
        <v>27</v>
      </c>
      <c r="J43" s="18" t="s">
        <v>28</v>
      </c>
      <c r="K43" s="1" t="s">
        <v>29</v>
      </c>
    </row>
    <row r="44" spans="1:11" x14ac:dyDescent="0.25">
      <c r="A44" s="1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B45" t="s">
        <v>91</v>
      </c>
      <c r="D45" s="14">
        <f>Cost_Benefit_Analysis!R25</f>
        <v>0</v>
      </c>
      <c r="E45" s="14">
        <f>D45*(1+Cost_Benefit_Analysis!$R$9)</f>
        <v>0</v>
      </c>
      <c r="F45" s="14">
        <f>E45*(1+Cost_Benefit_Analysis!$R$9)</f>
        <v>0</v>
      </c>
      <c r="G45" s="14">
        <f>F45*(1+Cost_Benefit_Analysis!$R$9)</f>
        <v>0</v>
      </c>
      <c r="H45" s="14">
        <f>G45*(1+Cost_Benefit_Analysis!$R$9)</f>
        <v>0</v>
      </c>
      <c r="I45" s="14">
        <f>H45*(1+Cost_Benefit_Analysis!$R$9)</f>
        <v>0</v>
      </c>
      <c r="J45" s="14">
        <f>I45*(1+Cost_Benefit_Analysis!$R$9)</f>
        <v>0</v>
      </c>
      <c r="K45" s="14">
        <f>J45*(1+Cost_Benefit_Analysis!$R$9)</f>
        <v>0</v>
      </c>
    </row>
    <row r="46" spans="1:11" x14ac:dyDescent="0.25">
      <c r="B46" s="1" t="s">
        <v>30</v>
      </c>
      <c r="D46" s="15">
        <f>SUM(D45)</f>
        <v>0</v>
      </c>
      <c r="E46" s="15">
        <f t="shared" ref="E46:K46" si="24">D46+SUM(E45)</f>
        <v>0</v>
      </c>
      <c r="F46" s="15">
        <f t="shared" si="24"/>
        <v>0</v>
      </c>
      <c r="G46" s="15">
        <f t="shared" si="24"/>
        <v>0</v>
      </c>
      <c r="H46" s="15">
        <f t="shared" si="24"/>
        <v>0</v>
      </c>
      <c r="I46" s="15">
        <f t="shared" si="24"/>
        <v>0</v>
      </c>
      <c r="J46" s="15">
        <f t="shared" si="24"/>
        <v>0</v>
      </c>
      <c r="K46" s="15">
        <f t="shared" si="24"/>
        <v>0</v>
      </c>
    </row>
    <row r="49" spans="1:11" x14ac:dyDescent="0.25">
      <c r="A49" s="1" t="s">
        <v>52</v>
      </c>
      <c r="D49" s="1" t="s">
        <v>22</v>
      </c>
      <c r="E49" s="1" t="s">
        <v>23</v>
      </c>
      <c r="F49" s="18" t="s">
        <v>24</v>
      </c>
      <c r="G49" s="1" t="s">
        <v>25</v>
      </c>
      <c r="H49" s="18" t="s">
        <v>26</v>
      </c>
      <c r="I49" s="1" t="s">
        <v>27</v>
      </c>
      <c r="J49" s="18" t="s">
        <v>28</v>
      </c>
      <c r="K49" s="1" t="s">
        <v>29</v>
      </c>
    </row>
    <row r="50" spans="1:11" x14ac:dyDescent="0.25">
      <c r="A50" t="s">
        <v>45</v>
      </c>
      <c r="B50" t="s">
        <v>42</v>
      </c>
      <c r="D50" s="14">
        <f>Cost_Benefit_Analysis!R14</f>
        <v>180000</v>
      </c>
      <c r="E50" s="14">
        <f>Cost_Benefit_Analysis!R20</f>
        <v>2000</v>
      </c>
      <c r="F50" s="21">
        <f>E50*(1+Cost_Benefit_Analysis!R9)</f>
        <v>2100</v>
      </c>
      <c r="G50" s="14">
        <f>(E50*(1+Cost_Benefit_Analysis!R9)^2)+Cost_Benefit_Analysis!R21*1.05^3</f>
        <v>13781.250000000002</v>
      </c>
      <c r="H50" s="21">
        <f>E50*(1+Cost_Benefit_Analysis!R9)^3</f>
        <v>2315.2500000000005</v>
      </c>
      <c r="I50" s="14">
        <f>(E50*(1+Cost_Benefit_Analysis!R9)^4)+Cost_Benefit_Analysis!R21*1.05^5</f>
        <v>15193.828125</v>
      </c>
      <c r="J50" s="21">
        <f>E50*(1+Cost_Benefit_Analysis!R9)^5</f>
        <v>2552.5631250000001</v>
      </c>
      <c r="K50" s="14">
        <f>(E50*(1+Cost_Benefit_Analysis!R9)^6)+Cost_Benefit_Analysis!R21*1.05^7</f>
        <v>16751.195507812503</v>
      </c>
    </row>
    <row r="51" spans="1:11" x14ac:dyDescent="0.25">
      <c r="A51" s="25" t="s">
        <v>59</v>
      </c>
      <c r="B51" t="s">
        <v>54</v>
      </c>
      <c r="D51" s="14">
        <f>Cost_Benefit_Analysis!R18</f>
        <v>14400</v>
      </c>
      <c r="E51" s="14"/>
      <c r="F51" s="21"/>
      <c r="G51" s="14"/>
      <c r="H51" s="21"/>
      <c r="I51" s="14"/>
      <c r="J51" s="21"/>
      <c r="K51" s="14"/>
    </row>
    <row r="52" spans="1:11" x14ac:dyDescent="0.25">
      <c r="B52" t="s">
        <v>85</v>
      </c>
      <c r="D52" s="14">
        <f>0.2*D32+Cost_Benefit_Analysis!R23</f>
        <v>3628.8</v>
      </c>
      <c r="E52" s="14">
        <f>D52*(1.1)</f>
        <v>3991.6800000000007</v>
      </c>
      <c r="F52" s="14">
        <f t="shared" ref="F52:K52" si="25">E52*(1.1)</f>
        <v>4390.8480000000009</v>
      </c>
      <c r="G52" s="14">
        <f t="shared" si="25"/>
        <v>4829.9328000000014</v>
      </c>
      <c r="H52" s="14">
        <f t="shared" si="25"/>
        <v>5312.926080000002</v>
      </c>
      <c r="I52" s="14">
        <f t="shared" si="25"/>
        <v>5844.2186880000027</v>
      </c>
      <c r="J52" s="14">
        <f t="shared" si="25"/>
        <v>6428.6405568000037</v>
      </c>
      <c r="K52" s="14">
        <f t="shared" si="25"/>
        <v>7071.5046124800047</v>
      </c>
    </row>
    <row r="53" spans="1:11" x14ac:dyDescent="0.25">
      <c r="B53" t="str">
        <f>$B$69</f>
        <v>Helium-fill Charge</v>
      </c>
      <c r="D53" s="14">
        <f>D$69</f>
        <v>0</v>
      </c>
      <c r="E53" s="14">
        <f t="shared" ref="E53:K53" si="26">E$69</f>
        <v>0</v>
      </c>
      <c r="F53" s="14">
        <f t="shared" si="26"/>
        <v>0</v>
      </c>
      <c r="G53" s="14">
        <f t="shared" si="26"/>
        <v>0</v>
      </c>
      <c r="H53" s="14">
        <f t="shared" si="26"/>
        <v>0</v>
      </c>
      <c r="I53" s="14">
        <f t="shared" si="26"/>
        <v>0</v>
      </c>
      <c r="J53" s="14">
        <f t="shared" si="26"/>
        <v>0</v>
      </c>
      <c r="K53" s="14">
        <f t="shared" si="26"/>
        <v>0</v>
      </c>
    </row>
    <row r="54" spans="1:11" x14ac:dyDescent="0.25">
      <c r="B54" t="s">
        <v>74</v>
      </c>
      <c r="D54" s="14">
        <f>Cost_Benefit_Analysis!$R$27*Cost_Benefit_Analysis!$R$28*24*365</f>
        <v>3066</v>
      </c>
      <c r="E54" s="14">
        <f>D54*(1+Cost_Benefit_Analysis!$R$9)</f>
        <v>3219.3</v>
      </c>
      <c r="F54" s="14">
        <f>E54*(1+Cost_Benefit_Analysis!$R$9)</f>
        <v>3380.2650000000003</v>
      </c>
      <c r="G54" s="14">
        <f>F54*(1+Cost_Benefit_Analysis!$R$9)</f>
        <v>3549.2782500000003</v>
      </c>
      <c r="H54" s="14">
        <f>G54*(1+Cost_Benefit_Analysis!$R$9)</f>
        <v>3726.7421625000006</v>
      </c>
      <c r="I54" s="14">
        <f>H54*(1+Cost_Benefit_Analysis!$R$9)</f>
        <v>3913.0792706250008</v>
      </c>
      <c r="J54" s="14">
        <f>I54*(1+Cost_Benefit_Analysis!$R$9)</f>
        <v>4108.7332341562515</v>
      </c>
      <c r="K54" s="14">
        <f>J54*(1+Cost_Benefit_Analysis!$R$9)</f>
        <v>4314.1698958640645</v>
      </c>
    </row>
    <row r="55" spans="1:11" x14ac:dyDescent="0.25">
      <c r="B55" s="1" t="s">
        <v>30</v>
      </c>
      <c r="D55" s="15">
        <f>SUM(D50:D54)</f>
        <v>201094.8</v>
      </c>
      <c r="E55" s="15">
        <f t="shared" ref="E55:K55" si="27">D55+SUM(E50:E54)</f>
        <v>210305.78</v>
      </c>
      <c r="F55" s="15">
        <f t="shared" si="27"/>
        <v>220176.89300000001</v>
      </c>
      <c r="G55" s="15">
        <f t="shared" si="27"/>
        <v>242337.35405000002</v>
      </c>
      <c r="H55" s="15">
        <f t="shared" si="27"/>
        <v>253692.27229250001</v>
      </c>
      <c r="I55" s="15">
        <f t="shared" si="27"/>
        <v>278643.39837612503</v>
      </c>
      <c r="J55" s="15">
        <f t="shared" si="27"/>
        <v>291733.33529208129</v>
      </c>
      <c r="K55" s="15">
        <f t="shared" si="27"/>
        <v>319870.20530823787</v>
      </c>
    </row>
    <row r="57" spans="1:11" x14ac:dyDescent="0.25">
      <c r="A57" t="s">
        <v>46</v>
      </c>
      <c r="B57" t="s">
        <v>42</v>
      </c>
      <c r="D57" s="14">
        <f>D50+Cost_Benefit_Analysis!R16</f>
        <v>192000</v>
      </c>
      <c r="E57" s="14">
        <f t="shared" ref="E57:K57" si="28">E50</f>
        <v>2000</v>
      </c>
      <c r="F57" s="14">
        <f t="shared" si="28"/>
        <v>2100</v>
      </c>
      <c r="G57" s="14">
        <f t="shared" si="28"/>
        <v>13781.250000000002</v>
      </c>
      <c r="H57" s="14">
        <f t="shared" si="28"/>
        <v>2315.2500000000005</v>
      </c>
      <c r="I57" s="14">
        <f t="shared" si="28"/>
        <v>15193.828125</v>
      </c>
      <c r="J57" s="14">
        <f t="shared" si="28"/>
        <v>2552.5631250000001</v>
      </c>
      <c r="K57" s="14">
        <f t="shared" si="28"/>
        <v>16751.195507812503</v>
      </c>
    </row>
    <row r="58" spans="1:11" x14ac:dyDescent="0.25">
      <c r="B58" t="s">
        <v>54</v>
      </c>
      <c r="D58" s="14">
        <f>D51</f>
        <v>14400</v>
      </c>
      <c r="E58" s="14"/>
      <c r="F58" s="21"/>
      <c r="G58" s="14"/>
      <c r="H58" s="21"/>
      <c r="I58" s="14"/>
      <c r="J58" s="21"/>
      <c r="K58" s="14"/>
    </row>
    <row r="59" spans="1:11" x14ac:dyDescent="0.25">
      <c r="B59" t="s">
        <v>85</v>
      </c>
      <c r="D59" s="14">
        <f>0.1*D32+Cost_Benefit_Analysis!R23</f>
        <v>1814.4</v>
      </c>
      <c r="E59" s="14">
        <f>D59*(1.1)</f>
        <v>1995.8400000000004</v>
      </c>
      <c r="F59" s="14">
        <f t="shared" ref="F59:K59" si="29">E59*(1.1)</f>
        <v>2195.4240000000004</v>
      </c>
      <c r="G59" s="14">
        <f t="shared" si="29"/>
        <v>2414.9664000000007</v>
      </c>
      <c r="H59" s="14">
        <f t="shared" si="29"/>
        <v>2656.463040000001</v>
      </c>
      <c r="I59" s="14">
        <f t="shared" si="29"/>
        <v>2922.1093440000013</v>
      </c>
      <c r="J59" s="14">
        <f t="shared" si="29"/>
        <v>3214.3202784000018</v>
      </c>
      <c r="K59" s="14">
        <f t="shared" si="29"/>
        <v>3535.7523062400023</v>
      </c>
    </row>
    <row r="60" spans="1:11" x14ac:dyDescent="0.25">
      <c r="B60" t="str">
        <f>$B$69</f>
        <v>Helium-fill Charge</v>
      </c>
      <c r="D60" s="14">
        <f>D$69</f>
        <v>0</v>
      </c>
      <c r="E60" s="14">
        <f t="shared" ref="E60:K60" si="30">E$69</f>
        <v>0</v>
      </c>
      <c r="F60" s="14">
        <f t="shared" si="30"/>
        <v>0</v>
      </c>
      <c r="G60" s="14">
        <f t="shared" si="30"/>
        <v>0</v>
      </c>
      <c r="H60" s="14">
        <f t="shared" si="30"/>
        <v>0</v>
      </c>
      <c r="I60" s="14">
        <f t="shared" si="30"/>
        <v>0</v>
      </c>
      <c r="J60" s="14">
        <f t="shared" si="30"/>
        <v>0</v>
      </c>
      <c r="K60" s="14">
        <f t="shared" si="30"/>
        <v>0</v>
      </c>
    </row>
    <row r="61" spans="1:11" x14ac:dyDescent="0.25">
      <c r="B61" t="s">
        <v>74</v>
      </c>
      <c r="D61" s="14">
        <f>D54</f>
        <v>3066</v>
      </c>
      <c r="E61" s="14">
        <f>D61*(1+Cost_Benefit_Analysis!$R$9)</f>
        <v>3219.3</v>
      </c>
      <c r="F61" s="14">
        <f>E61*(1+Cost_Benefit_Analysis!$R$9)</f>
        <v>3380.2650000000003</v>
      </c>
      <c r="G61" s="14">
        <f>F61*(1+Cost_Benefit_Analysis!$R$9)</f>
        <v>3549.2782500000003</v>
      </c>
      <c r="H61" s="14">
        <f>G61*(1+Cost_Benefit_Analysis!$R$9)</f>
        <v>3726.7421625000006</v>
      </c>
      <c r="I61" s="14">
        <f>H61*(1+Cost_Benefit_Analysis!$R$9)</f>
        <v>3913.0792706250008</v>
      </c>
      <c r="J61" s="14">
        <f>I61*(1+Cost_Benefit_Analysis!$R$9)</f>
        <v>4108.7332341562515</v>
      </c>
      <c r="K61" s="14">
        <f>J61*(1+Cost_Benefit_Analysis!$R$9)</f>
        <v>4314.1698958640645</v>
      </c>
    </row>
    <row r="62" spans="1:11" x14ac:dyDescent="0.25">
      <c r="B62" s="1" t="s">
        <v>30</v>
      </c>
      <c r="D62" s="15">
        <f>SUM(D57:D61)</f>
        <v>211280.4</v>
      </c>
      <c r="E62" s="15">
        <f t="shared" ref="E62:K62" si="31">D62+SUM(E57:E61)</f>
        <v>218495.54</v>
      </c>
      <c r="F62" s="15">
        <f t="shared" si="31"/>
        <v>226171.22900000002</v>
      </c>
      <c r="G62" s="15">
        <f t="shared" si="31"/>
        <v>245916.72365000003</v>
      </c>
      <c r="H62" s="15">
        <f t="shared" si="31"/>
        <v>254615.17885250004</v>
      </c>
      <c r="I62" s="15">
        <f t="shared" si="31"/>
        <v>276644.19559212506</v>
      </c>
      <c r="J62" s="15">
        <f t="shared" si="31"/>
        <v>286519.81222968129</v>
      </c>
      <c r="K62" s="15">
        <f t="shared" si="31"/>
        <v>311120.92993959785</v>
      </c>
    </row>
    <row r="65" spans="1:11" x14ac:dyDescent="0.25">
      <c r="A65" s="1" t="s">
        <v>98</v>
      </c>
      <c r="D65" s="1" t="s">
        <v>22</v>
      </c>
      <c r="E65" s="1" t="s">
        <v>23</v>
      </c>
      <c r="F65" s="18" t="s">
        <v>24</v>
      </c>
      <c r="G65" s="1" t="s">
        <v>25</v>
      </c>
      <c r="H65" s="18" t="s">
        <v>26</v>
      </c>
      <c r="I65" s="1" t="s">
        <v>27</v>
      </c>
      <c r="J65" s="18" t="s">
        <v>28</v>
      </c>
      <c r="K65" s="1" t="s">
        <v>29</v>
      </c>
    </row>
    <row r="66" spans="1:11" x14ac:dyDescent="0.25">
      <c r="A66" t="s">
        <v>45</v>
      </c>
      <c r="B66" t="s">
        <v>42</v>
      </c>
      <c r="D66" s="14">
        <f t="shared" ref="D66:K66" si="32">D50</f>
        <v>180000</v>
      </c>
      <c r="E66" s="14">
        <f t="shared" si="32"/>
        <v>2000</v>
      </c>
      <c r="F66" s="14">
        <f t="shared" si="32"/>
        <v>2100</v>
      </c>
      <c r="G66" s="14">
        <f t="shared" si="32"/>
        <v>13781.250000000002</v>
      </c>
      <c r="H66" s="14">
        <f t="shared" si="32"/>
        <v>2315.2500000000005</v>
      </c>
      <c r="I66" s="14">
        <f t="shared" si="32"/>
        <v>15193.828125</v>
      </c>
      <c r="J66" s="14">
        <f t="shared" si="32"/>
        <v>2552.5631250000001</v>
      </c>
      <c r="K66" s="14">
        <f t="shared" si="32"/>
        <v>16751.195507812503</v>
      </c>
    </row>
    <row r="67" spans="1:11" x14ac:dyDescent="0.25">
      <c r="B67" t="s">
        <v>54</v>
      </c>
      <c r="D67" s="14">
        <f>D58</f>
        <v>14400</v>
      </c>
      <c r="E67" s="14"/>
      <c r="F67" s="21"/>
      <c r="G67" s="14"/>
      <c r="H67" s="21"/>
      <c r="I67" s="14"/>
      <c r="J67" s="21"/>
      <c r="K67" s="14"/>
    </row>
    <row r="68" spans="1:11" x14ac:dyDescent="0.25">
      <c r="B68" t="s">
        <v>85</v>
      </c>
      <c r="D68" s="14">
        <f>0.2*D32+Cost_Benefit_Analysis!R23</f>
        <v>3628.8</v>
      </c>
      <c r="E68" s="14">
        <f>D68*(1.1)</f>
        <v>3991.6800000000007</v>
      </c>
      <c r="F68" s="14">
        <f t="shared" ref="F68:K68" si="33">E68*(1.1)</f>
        <v>4390.8480000000009</v>
      </c>
      <c r="G68" s="14">
        <f t="shared" si="33"/>
        <v>4829.9328000000014</v>
      </c>
      <c r="H68" s="14">
        <f t="shared" si="33"/>
        <v>5312.926080000002</v>
      </c>
      <c r="I68" s="14">
        <f t="shared" si="33"/>
        <v>5844.2186880000027</v>
      </c>
      <c r="J68" s="14">
        <f t="shared" si="33"/>
        <v>6428.6405568000037</v>
      </c>
      <c r="K68" s="14">
        <f t="shared" si="33"/>
        <v>7071.5046124800047</v>
      </c>
    </row>
    <row r="69" spans="1:11" x14ac:dyDescent="0.25">
      <c r="B69" t="s">
        <v>97</v>
      </c>
      <c r="D69" s="14">
        <f>Cost_Benefit_Analysis!R25</f>
        <v>0</v>
      </c>
      <c r="E69" s="14">
        <f>D69*(1+Cost_Benefit_Analysis!$R$9)^1</f>
        <v>0</v>
      </c>
      <c r="F69" s="14">
        <f>E69*(1+Cost_Benefit_Analysis!$R$9)^1</f>
        <v>0</v>
      </c>
      <c r="G69" s="14">
        <f>F69*(1+Cost_Benefit_Analysis!$R$9)^1</f>
        <v>0</v>
      </c>
      <c r="H69" s="14">
        <f>G69*(1+Cost_Benefit_Analysis!$R$9)^1</f>
        <v>0</v>
      </c>
      <c r="I69" s="14">
        <f>H69*(1+Cost_Benefit_Analysis!$R$9)^1</f>
        <v>0</v>
      </c>
      <c r="J69" s="14">
        <f>I69*(1+Cost_Benefit_Analysis!$R$9)^1</f>
        <v>0</v>
      </c>
      <c r="K69" s="14">
        <f>J69*(1+Cost_Benefit_Analysis!$R$9)^1</f>
        <v>0</v>
      </c>
    </row>
    <row r="70" spans="1:11" x14ac:dyDescent="0.25">
      <c r="B70" t="s">
        <v>74</v>
      </c>
      <c r="D70" s="14">
        <f>D54</f>
        <v>3066</v>
      </c>
      <c r="E70" s="14">
        <f t="shared" ref="E70:K70" si="34">E54</f>
        <v>3219.3</v>
      </c>
      <c r="F70" s="14">
        <f t="shared" si="34"/>
        <v>3380.2650000000003</v>
      </c>
      <c r="G70" s="14">
        <f t="shared" si="34"/>
        <v>3549.2782500000003</v>
      </c>
      <c r="H70" s="14">
        <f t="shared" si="34"/>
        <v>3726.7421625000006</v>
      </c>
      <c r="I70" s="14">
        <f t="shared" si="34"/>
        <v>3913.0792706250008</v>
      </c>
      <c r="J70" s="14">
        <f t="shared" si="34"/>
        <v>4108.7332341562515</v>
      </c>
      <c r="K70" s="14">
        <f t="shared" si="34"/>
        <v>4314.1698958640645</v>
      </c>
    </row>
    <row r="71" spans="1:11" x14ac:dyDescent="0.25">
      <c r="B71" s="1" t="s">
        <v>30</v>
      </c>
      <c r="D71" s="15">
        <f>SUM(D66:D70)</f>
        <v>201094.8</v>
      </c>
      <c r="E71" s="15">
        <f t="shared" ref="E71:K71" si="35">D71+SUM(E66:E70)</f>
        <v>210305.78</v>
      </c>
      <c r="F71" s="15">
        <f t="shared" si="35"/>
        <v>220176.89300000001</v>
      </c>
      <c r="G71" s="15">
        <f t="shared" si="35"/>
        <v>242337.35405000002</v>
      </c>
      <c r="H71" s="15">
        <f t="shared" si="35"/>
        <v>253692.27229250001</v>
      </c>
      <c r="I71" s="15">
        <f t="shared" si="35"/>
        <v>278643.39837612503</v>
      </c>
      <c r="J71" s="15">
        <f t="shared" si="35"/>
        <v>291733.33529208129</v>
      </c>
      <c r="K71" s="15">
        <f t="shared" si="35"/>
        <v>319870.20530823787</v>
      </c>
    </row>
    <row r="73" spans="1:11" x14ac:dyDescent="0.25">
      <c r="A73" t="s">
        <v>46</v>
      </c>
      <c r="B73" t="s">
        <v>42</v>
      </c>
      <c r="D73" s="14">
        <f>D57</f>
        <v>192000</v>
      </c>
      <c r="E73" s="14">
        <f t="shared" ref="E73:K73" si="36">E50</f>
        <v>2000</v>
      </c>
      <c r="F73" s="14">
        <f t="shared" si="36"/>
        <v>2100</v>
      </c>
      <c r="G73" s="14">
        <f t="shared" si="36"/>
        <v>13781.250000000002</v>
      </c>
      <c r="H73" s="14">
        <f t="shared" si="36"/>
        <v>2315.2500000000005</v>
      </c>
      <c r="I73" s="14">
        <f t="shared" si="36"/>
        <v>15193.828125</v>
      </c>
      <c r="J73" s="14">
        <f t="shared" si="36"/>
        <v>2552.5631250000001</v>
      </c>
      <c r="K73" s="14">
        <f t="shared" si="36"/>
        <v>16751.195507812503</v>
      </c>
    </row>
    <row r="74" spans="1:11" x14ac:dyDescent="0.25">
      <c r="B74" t="s">
        <v>54</v>
      </c>
      <c r="D74" s="14">
        <f>D67</f>
        <v>14400</v>
      </c>
      <c r="E74" s="14"/>
      <c r="F74" s="21"/>
      <c r="G74" s="14"/>
      <c r="H74" s="21"/>
      <c r="I74" s="14"/>
      <c r="J74" s="21"/>
      <c r="K74" s="14"/>
    </row>
    <row r="75" spans="1:11" x14ac:dyDescent="0.25">
      <c r="B75" t="s">
        <v>85</v>
      </c>
      <c r="D75" s="14">
        <f>0.1*D32+Cost_Benefit_Analysis!R23</f>
        <v>1814.4</v>
      </c>
      <c r="E75" s="14">
        <f>D75*(1.1)</f>
        <v>1995.8400000000004</v>
      </c>
      <c r="F75" s="14">
        <f t="shared" ref="F75:K75" si="37">E75*(1.1)</f>
        <v>2195.4240000000004</v>
      </c>
      <c r="G75" s="14">
        <f t="shared" si="37"/>
        <v>2414.9664000000007</v>
      </c>
      <c r="H75" s="14">
        <f t="shared" si="37"/>
        <v>2656.463040000001</v>
      </c>
      <c r="I75" s="14">
        <f t="shared" si="37"/>
        <v>2922.1093440000013</v>
      </c>
      <c r="J75" s="14">
        <f t="shared" si="37"/>
        <v>3214.3202784000018</v>
      </c>
      <c r="K75" s="14">
        <f t="shared" si="37"/>
        <v>3535.7523062400023</v>
      </c>
    </row>
    <row r="76" spans="1:11" x14ac:dyDescent="0.25">
      <c r="B76" t="str">
        <f>$B$69</f>
        <v>Helium-fill Charge</v>
      </c>
      <c r="D76" s="14">
        <f>D$69</f>
        <v>0</v>
      </c>
      <c r="E76" s="14">
        <f t="shared" ref="E76:K76" si="38">E$69</f>
        <v>0</v>
      </c>
      <c r="F76" s="14">
        <f t="shared" si="38"/>
        <v>0</v>
      </c>
      <c r="G76" s="14">
        <f t="shared" si="38"/>
        <v>0</v>
      </c>
      <c r="H76" s="14">
        <f t="shared" si="38"/>
        <v>0</v>
      </c>
      <c r="I76" s="14">
        <f t="shared" si="38"/>
        <v>0</v>
      </c>
      <c r="J76" s="14">
        <f t="shared" si="38"/>
        <v>0</v>
      </c>
      <c r="K76" s="14">
        <f t="shared" si="38"/>
        <v>0</v>
      </c>
    </row>
    <row r="77" spans="1:11" x14ac:dyDescent="0.25">
      <c r="B77" t="s">
        <v>74</v>
      </c>
      <c r="D77" s="14">
        <f>D70</f>
        <v>3066</v>
      </c>
      <c r="E77" s="14">
        <f t="shared" ref="E77:K77" si="39">E70</f>
        <v>3219.3</v>
      </c>
      <c r="F77" s="14">
        <f t="shared" si="39"/>
        <v>3380.2650000000003</v>
      </c>
      <c r="G77" s="14">
        <f t="shared" si="39"/>
        <v>3549.2782500000003</v>
      </c>
      <c r="H77" s="14">
        <f t="shared" si="39"/>
        <v>3726.7421625000006</v>
      </c>
      <c r="I77" s="14">
        <f t="shared" si="39"/>
        <v>3913.0792706250008</v>
      </c>
      <c r="J77" s="14">
        <f t="shared" si="39"/>
        <v>4108.7332341562515</v>
      </c>
      <c r="K77" s="14">
        <f t="shared" si="39"/>
        <v>4314.1698958640645</v>
      </c>
    </row>
    <row r="78" spans="1:11" x14ac:dyDescent="0.25">
      <c r="B78" s="1" t="s">
        <v>30</v>
      </c>
      <c r="D78" s="15">
        <f>SUM(D73:D77)</f>
        <v>211280.4</v>
      </c>
      <c r="E78" s="15">
        <f t="shared" ref="E78:K78" si="40">D78+SUM(E73:E77)</f>
        <v>218495.54</v>
      </c>
      <c r="F78" s="15">
        <f t="shared" si="40"/>
        <v>226171.22900000002</v>
      </c>
      <c r="G78" s="15">
        <f t="shared" si="40"/>
        <v>245916.72365000003</v>
      </c>
      <c r="H78" s="15">
        <f t="shared" si="40"/>
        <v>254615.17885250004</v>
      </c>
      <c r="I78" s="15">
        <f t="shared" si="40"/>
        <v>276644.19559212506</v>
      </c>
      <c r="J78" s="15">
        <f t="shared" si="40"/>
        <v>286519.81222968129</v>
      </c>
      <c r="K78" s="15">
        <f t="shared" si="40"/>
        <v>311120.92993959785</v>
      </c>
    </row>
    <row r="80" spans="1:11" x14ac:dyDescent="0.25">
      <c r="A80" s="1" t="s">
        <v>75</v>
      </c>
    </row>
    <row r="81" spans="1:11" x14ac:dyDescent="0.25">
      <c r="A81" t="s">
        <v>82</v>
      </c>
      <c r="B81" t="s">
        <v>42</v>
      </c>
      <c r="D81">
        <f>Cost_Benefit_Analysis!R30</f>
        <v>25000</v>
      </c>
      <c r="E81" s="32">
        <f>Cost_Benefit_Analysis!R32</f>
        <v>2000</v>
      </c>
      <c r="F81" s="32">
        <f>E81*(1+Cost_Benefit_Analysis!$R$9)</f>
        <v>2100</v>
      </c>
      <c r="G81" s="33">
        <f>F81*(1+Cost_Benefit_Analysis!$R$9)</f>
        <v>2205</v>
      </c>
      <c r="H81" s="33">
        <f>G81*(1+Cost_Benefit_Analysis!$R$9)</f>
        <v>2315.25</v>
      </c>
      <c r="I81" s="33">
        <f>H81*(1+Cost_Benefit_Analysis!$R$9)</f>
        <v>2431.0125000000003</v>
      </c>
      <c r="J81" s="33">
        <f>I81*(1+Cost_Benefit_Analysis!$R$9)</f>
        <v>2552.5631250000006</v>
      </c>
      <c r="K81" s="33">
        <f>J81*(1+Cost_Benefit_Analysis!$R$9)</f>
        <v>2680.1912812500009</v>
      </c>
    </row>
    <row r="82" spans="1:11" x14ac:dyDescent="0.25">
      <c r="B82" t="s">
        <v>54</v>
      </c>
      <c r="D82">
        <f>Cost_Benefit_Analysis!R31</f>
        <v>5000</v>
      </c>
    </row>
    <row r="83" spans="1:11" x14ac:dyDescent="0.25">
      <c r="B83" t="s">
        <v>90</v>
      </c>
      <c r="D83" s="3">
        <f>D32</f>
        <v>18144</v>
      </c>
      <c r="E83" s="14">
        <f>D83*(1.1)</f>
        <v>19958.400000000001</v>
      </c>
      <c r="F83" s="14">
        <f t="shared" ref="F83:K83" si="41">E83*(1.1)</f>
        <v>21954.240000000002</v>
      </c>
      <c r="G83" s="14">
        <f t="shared" si="41"/>
        <v>24149.664000000004</v>
      </c>
      <c r="H83" s="14">
        <f t="shared" si="41"/>
        <v>26564.630400000005</v>
      </c>
      <c r="I83" s="14">
        <f t="shared" si="41"/>
        <v>29221.093440000008</v>
      </c>
      <c r="J83" s="14">
        <f t="shared" si="41"/>
        <v>32143.202784000012</v>
      </c>
      <c r="K83" s="14">
        <f t="shared" si="41"/>
        <v>35357.523062400018</v>
      </c>
    </row>
    <row r="84" spans="1:11" x14ac:dyDescent="0.25">
      <c r="B84" t="str">
        <f>$B$69</f>
        <v>Helium-fill Charge</v>
      </c>
      <c r="D84" s="14">
        <f>D$69</f>
        <v>0</v>
      </c>
      <c r="E84" s="14">
        <f t="shared" ref="E84:K84" si="42">E$69</f>
        <v>0</v>
      </c>
      <c r="F84" s="14">
        <f t="shared" si="42"/>
        <v>0</v>
      </c>
      <c r="G84" s="14">
        <f t="shared" si="42"/>
        <v>0</v>
      </c>
      <c r="H84" s="14">
        <f t="shared" si="42"/>
        <v>0</v>
      </c>
      <c r="I84" s="14">
        <f t="shared" si="42"/>
        <v>0</v>
      </c>
      <c r="J84" s="14">
        <f t="shared" si="42"/>
        <v>0</v>
      </c>
      <c r="K84" s="14">
        <f t="shared" si="42"/>
        <v>0</v>
      </c>
    </row>
    <row r="85" spans="1:11" x14ac:dyDescent="0.25">
      <c r="B85" t="s">
        <v>74</v>
      </c>
    </row>
    <row r="86" spans="1:11" x14ac:dyDescent="0.25">
      <c r="B86" s="30" t="s">
        <v>81</v>
      </c>
      <c r="D86" s="30">
        <f>-Cost_Benefit_Analysis!$R$22*Cost_Benefit_Analysis!R34*Cost_Benefit_Analysis!R3</f>
        <v>-9072</v>
      </c>
      <c r="E86" s="31">
        <f>D86*(1.1)</f>
        <v>-9979.2000000000007</v>
      </c>
      <c r="F86" s="31">
        <f t="shared" ref="F86:K86" si="43">E86*(1.1)</f>
        <v>-10977.12</v>
      </c>
      <c r="G86" s="31">
        <f t="shared" si="43"/>
        <v>-12074.832000000002</v>
      </c>
      <c r="H86" s="31">
        <f t="shared" si="43"/>
        <v>-13282.315200000003</v>
      </c>
      <c r="I86" s="31">
        <f t="shared" si="43"/>
        <v>-14610.546720000004</v>
      </c>
      <c r="J86" s="31">
        <f t="shared" si="43"/>
        <v>-16071.601392000006</v>
      </c>
      <c r="K86" s="31">
        <f t="shared" si="43"/>
        <v>-17678.761531200009</v>
      </c>
    </row>
    <row r="87" spans="1:11" x14ac:dyDescent="0.25">
      <c r="B87" s="1" t="s">
        <v>30</v>
      </c>
      <c r="D87" s="1">
        <f>SUM(D81:D86)</f>
        <v>39072</v>
      </c>
      <c r="E87" s="1">
        <f t="shared" ref="E87:K87" si="44">D87+SUM(E81:E86)</f>
        <v>51051.199999999997</v>
      </c>
      <c r="F87" s="4">
        <f t="shared" si="44"/>
        <v>64128.32</v>
      </c>
      <c r="G87" s="4">
        <f t="shared" si="44"/>
        <v>78408.152000000002</v>
      </c>
      <c r="H87" s="4">
        <f t="shared" si="44"/>
        <v>94005.717199999999</v>
      </c>
      <c r="I87" s="4">
        <f t="shared" si="44"/>
        <v>111047.27642000001</v>
      </c>
      <c r="J87" s="4">
        <f t="shared" si="44"/>
        <v>129671.44093700001</v>
      </c>
      <c r="K87" s="4">
        <f t="shared" si="44"/>
        <v>150030.39374945001</v>
      </c>
    </row>
    <row r="88" spans="1:11" x14ac:dyDescent="0.25">
      <c r="F88" s="3"/>
      <c r="G88" s="3"/>
      <c r="H88" s="3"/>
    </row>
    <row r="89" spans="1:11" x14ac:dyDescent="0.25">
      <c r="A89" t="s">
        <v>83</v>
      </c>
      <c r="B89" t="s">
        <v>42</v>
      </c>
      <c r="D89">
        <f>D81</f>
        <v>25000</v>
      </c>
      <c r="E89">
        <f t="shared" ref="E89:K89" si="45">E81</f>
        <v>2000</v>
      </c>
      <c r="F89">
        <f t="shared" si="45"/>
        <v>2100</v>
      </c>
      <c r="G89" s="3">
        <f t="shared" si="45"/>
        <v>2205</v>
      </c>
      <c r="H89" s="3">
        <f t="shared" si="45"/>
        <v>2315.25</v>
      </c>
      <c r="I89" s="3">
        <f t="shared" si="45"/>
        <v>2431.0125000000003</v>
      </c>
      <c r="J89" s="3">
        <f t="shared" si="45"/>
        <v>2552.5631250000006</v>
      </c>
      <c r="K89" s="3">
        <f t="shared" si="45"/>
        <v>2680.1912812500009</v>
      </c>
    </row>
    <row r="90" spans="1:11" x14ac:dyDescent="0.25">
      <c r="B90" t="s">
        <v>54</v>
      </c>
      <c r="D90">
        <f>D82</f>
        <v>5000</v>
      </c>
    </row>
    <row r="91" spans="1:11" x14ac:dyDescent="0.25">
      <c r="B91" t="s">
        <v>85</v>
      </c>
      <c r="D91" s="3">
        <f>D68</f>
        <v>3628.8</v>
      </c>
      <c r="E91" s="3">
        <f t="shared" ref="E91:K91" si="46">E68</f>
        <v>3991.6800000000007</v>
      </c>
      <c r="F91" s="3">
        <f t="shared" si="46"/>
        <v>4390.8480000000009</v>
      </c>
      <c r="G91" s="3">
        <f t="shared" si="46"/>
        <v>4829.9328000000014</v>
      </c>
      <c r="H91" s="3">
        <f t="shared" si="46"/>
        <v>5312.926080000002</v>
      </c>
      <c r="I91" s="3">
        <f t="shared" si="46"/>
        <v>5844.2186880000027</v>
      </c>
      <c r="J91" s="3">
        <f t="shared" si="46"/>
        <v>6428.6405568000037</v>
      </c>
      <c r="K91" s="3">
        <f t="shared" si="46"/>
        <v>7071.5046124800047</v>
      </c>
    </row>
    <row r="92" spans="1:11" x14ac:dyDescent="0.25">
      <c r="B92" t="str">
        <f>$B$69</f>
        <v>Helium-fill Charge</v>
      </c>
      <c r="D92" s="14">
        <f>D$69</f>
        <v>0</v>
      </c>
      <c r="E92" s="14">
        <f t="shared" ref="E92:K92" si="47">E$69</f>
        <v>0</v>
      </c>
      <c r="F92" s="14">
        <f t="shared" si="47"/>
        <v>0</v>
      </c>
      <c r="G92" s="14">
        <f t="shared" si="47"/>
        <v>0</v>
      </c>
      <c r="H92" s="14">
        <f t="shared" si="47"/>
        <v>0</v>
      </c>
      <c r="I92" s="14">
        <f t="shared" si="47"/>
        <v>0</v>
      </c>
      <c r="J92" s="14">
        <f t="shared" si="47"/>
        <v>0</v>
      </c>
      <c r="K92" s="14">
        <f t="shared" si="47"/>
        <v>0</v>
      </c>
    </row>
    <row r="93" spans="1:11" x14ac:dyDescent="0.25">
      <c r="B93" t="s">
        <v>74</v>
      </c>
    </row>
    <row r="94" spans="1:11" x14ac:dyDescent="0.25">
      <c r="B94" s="30" t="s">
        <v>84</v>
      </c>
      <c r="D94" s="30">
        <f>Cost_Benefit_Analysis!R37</f>
        <v>9072</v>
      </c>
      <c r="E94" s="31">
        <f>D94*(1+Cost_Benefit_Analysis!$R$9)</f>
        <v>9525.6</v>
      </c>
      <c r="F94" s="31">
        <f>E94*(1+Cost_Benefit_Analysis!$R$9)</f>
        <v>10001.880000000001</v>
      </c>
      <c r="G94" s="31">
        <f>F94*(1+Cost_Benefit_Analysis!$R$9)</f>
        <v>10501.974000000002</v>
      </c>
      <c r="H94" s="31">
        <f>G94*(1+Cost_Benefit_Analysis!$R$9)</f>
        <v>11027.072700000002</v>
      </c>
      <c r="I94" s="31">
        <f>H94*(1+Cost_Benefit_Analysis!$R$9)</f>
        <v>11578.426335000004</v>
      </c>
      <c r="J94" s="31">
        <f>I94*(1+Cost_Benefit_Analysis!$R$9)</f>
        <v>12157.347651750004</v>
      </c>
      <c r="K94" s="31">
        <f>J94*(1+Cost_Benefit_Analysis!$R$9)</f>
        <v>12765.215034337505</v>
      </c>
    </row>
    <row r="95" spans="1:11" x14ac:dyDescent="0.25">
      <c r="B95" s="1" t="s">
        <v>30</v>
      </c>
      <c r="D95" s="4">
        <f>SUM(D89:D94)</f>
        <v>42700.800000000003</v>
      </c>
      <c r="E95" s="4">
        <f t="shared" ref="E95:K95" si="48">D95+SUM(E89:E94)</f>
        <v>58218.080000000002</v>
      </c>
      <c r="F95" s="4">
        <f t="shared" si="48"/>
        <v>74710.808000000005</v>
      </c>
      <c r="G95" s="4">
        <f t="shared" si="48"/>
        <v>92247.714800000016</v>
      </c>
      <c r="H95" s="4">
        <f t="shared" si="48"/>
        <v>110902.96358000003</v>
      </c>
      <c r="I95" s="4">
        <f t="shared" si="48"/>
        <v>130756.62110300004</v>
      </c>
      <c r="J95" s="4">
        <f t="shared" si="48"/>
        <v>151895.17243655006</v>
      </c>
      <c r="K95" s="4">
        <f t="shared" si="48"/>
        <v>174412.08336461757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topLeftCell="B68" workbookViewId="0">
      <selection activeCell="I14" sqref="I14"/>
    </sheetView>
  </sheetViews>
  <sheetFormatPr defaultRowHeight="15" x14ac:dyDescent="0.25"/>
  <cols>
    <col min="1" max="1" width="35.85546875" customWidth="1"/>
    <col min="2" max="2" width="24.5703125" customWidth="1"/>
    <col min="3" max="3" width="15.85546875" customWidth="1"/>
    <col min="4" max="4" width="10" customWidth="1"/>
    <col min="5" max="5" width="12.7109375" customWidth="1"/>
    <col min="6" max="6" width="11.7109375" style="17" customWidth="1"/>
    <col min="7" max="7" width="14.140625" customWidth="1"/>
    <col min="8" max="8" width="11.140625" style="17" bestFit="1" customWidth="1"/>
    <col min="9" max="9" width="12.5703125" customWidth="1"/>
    <col min="10" max="10" width="13.42578125" style="17" customWidth="1"/>
    <col min="11" max="11" width="11.140625" bestFit="1" customWidth="1"/>
  </cols>
  <sheetData>
    <row r="2" spans="1:11" ht="18.75" x14ac:dyDescent="0.3">
      <c r="A2" s="8" t="s">
        <v>43</v>
      </c>
      <c r="B2" s="8">
        <f>'Current Situation (May 2013)'!F6</f>
        <v>2400</v>
      </c>
      <c r="C2" s="8" t="s">
        <v>44</v>
      </c>
      <c r="D2" s="16"/>
    </row>
    <row r="3" spans="1:11" ht="18.75" x14ac:dyDescent="0.3">
      <c r="A3" s="16"/>
      <c r="B3" s="8"/>
      <c r="C3" s="8"/>
      <c r="D3" s="16"/>
    </row>
    <row r="5" spans="1:11" x14ac:dyDescent="0.25">
      <c r="A5" s="1" t="s">
        <v>33</v>
      </c>
    </row>
    <row r="6" spans="1:11" x14ac:dyDescent="0.25">
      <c r="B6" s="1" t="s">
        <v>37</v>
      </c>
      <c r="D6" s="1" t="s">
        <v>22</v>
      </c>
      <c r="E6" s="1" t="s">
        <v>23</v>
      </c>
      <c r="F6" s="18" t="s">
        <v>24</v>
      </c>
      <c r="G6" s="1" t="s">
        <v>25</v>
      </c>
      <c r="H6" s="18" t="s">
        <v>26</v>
      </c>
      <c r="I6" s="1" t="s">
        <v>27</v>
      </c>
      <c r="J6" s="18" t="s">
        <v>28</v>
      </c>
      <c r="K6" s="1" t="s">
        <v>29</v>
      </c>
    </row>
    <row r="7" spans="1:11" x14ac:dyDescent="0.25">
      <c r="B7" t="s">
        <v>21</v>
      </c>
      <c r="D7" s="3">
        <f>'Current Situation (May 2013)'!J6</f>
        <v>43200</v>
      </c>
      <c r="E7" s="3">
        <f>D7*1.1</f>
        <v>47520.000000000007</v>
      </c>
      <c r="F7" s="19">
        <f t="shared" ref="F7:K7" si="0">E7*1.1</f>
        <v>52272.000000000015</v>
      </c>
      <c r="G7" s="3">
        <f t="shared" si="0"/>
        <v>57499.200000000019</v>
      </c>
      <c r="H7" s="19">
        <f t="shared" si="0"/>
        <v>63249.120000000024</v>
      </c>
      <c r="I7" s="3">
        <f t="shared" si="0"/>
        <v>69574.032000000036</v>
      </c>
      <c r="J7" s="19">
        <f t="shared" si="0"/>
        <v>76531.435200000051</v>
      </c>
      <c r="K7" s="3">
        <f t="shared" si="0"/>
        <v>84184.578720000063</v>
      </c>
    </row>
    <row r="8" spans="1:11" x14ac:dyDescent="0.25">
      <c r="B8" s="5" t="s">
        <v>30</v>
      </c>
      <c r="D8" s="4">
        <f>D7</f>
        <v>43200</v>
      </c>
      <c r="E8" s="4">
        <f>SUM(D7:E7)</f>
        <v>90720</v>
      </c>
      <c r="F8" s="20">
        <f t="shared" ref="F8:K8" si="1">E8+F7</f>
        <v>142992</v>
      </c>
      <c r="G8" s="4">
        <f t="shared" si="1"/>
        <v>200491.2</v>
      </c>
      <c r="H8" s="20">
        <f t="shared" si="1"/>
        <v>263740.32000000007</v>
      </c>
      <c r="I8" s="4">
        <f t="shared" si="1"/>
        <v>333314.35200000007</v>
      </c>
      <c r="J8" s="20">
        <f t="shared" si="1"/>
        <v>409845.78720000014</v>
      </c>
      <c r="K8" s="4">
        <f t="shared" si="1"/>
        <v>494030.36592000019</v>
      </c>
    </row>
    <row r="9" spans="1:11" s="11" customFormat="1" x14ac:dyDescent="0.25">
      <c r="B9" s="11" t="s">
        <v>41</v>
      </c>
      <c r="D9" s="13">
        <f>D7</f>
        <v>43200</v>
      </c>
      <c r="E9" s="13">
        <f>E7</f>
        <v>47520.000000000007</v>
      </c>
      <c r="F9" s="13">
        <f t="shared" ref="F9:K9" si="2">F7*(3800/2800)</f>
        <v>70940.571428571449</v>
      </c>
      <c r="G9" s="13">
        <f t="shared" si="2"/>
        <v>78034.628571428606</v>
      </c>
      <c r="H9" s="13">
        <f t="shared" si="2"/>
        <v>85838.091428571468</v>
      </c>
      <c r="I9" s="13">
        <f t="shared" si="2"/>
        <v>94421.900571428618</v>
      </c>
      <c r="J9" s="13">
        <f t="shared" si="2"/>
        <v>103864.0906285715</v>
      </c>
      <c r="K9" s="13">
        <f t="shared" si="2"/>
        <v>114250.49969142866</v>
      </c>
    </row>
    <row r="10" spans="1:11" s="11" customFormat="1" x14ac:dyDescent="0.25">
      <c r="B10" s="24" t="s">
        <v>30</v>
      </c>
      <c r="D10" s="23">
        <f>D9</f>
        <v>43200</v>
      </c>
      <c r="E10" s="23">
        <f>SUM(D9:E9)</f>
        <v>90720</v>
      </c>
      <c r="F10" s="23">
        <f t="shared" ref="F10:K10" si="3">E10+F9</f>
        <v>161660.57142857145</v>
      </c>
      <c r="G10" s="23">
        <f t="shared" si="3"/>
        <v>239695.20000000007</v>
      </c>
      <c r="H10" s="23">
        <f t="shared" si="3"/>
        <v>325533.29142857157</v>
      </c>
      <c r="I10" s="23">
        <f t="shared" si="3"/>
        <v>419955.19200000016</v>
      </c>
      <c r="J10" s="23">
        <f t="shared" si="3"/>
        <v>523819.28262857167</v>
      </c>
      <c r="K10" s="23">
        <f t="shared" si="3"/>
        <v>638069.78232000035</v>
      </c>
    </row>
    <row r="11" spans="1:11" x14ac:dyDescent="0.25">
      <c r="B11" s="5"/>
      <c r="D11" s="4"/>
      <c r="E11" s="4"/>
      <c r="F11" s="20"/>
      <c r="G11" s="4"/>
      <c r="H11" s="20"/>
      <c r="I11" s="4"/>
      <c r="J11" s="20"/>
      <c r="K11" s="4"/>
    </row>
    <row r="12" spans="1:11" x14ac:dyDescent="0.25">
      <c r="B12" s="1" t="s">
        <v>39</v>
      </c>
      <c r="D12" s="1" t="s">
        <v>22</v>
      </c>
      <c r="E12" s="1" t="s">
        <v>23</v>
      </c>
      <c r="F12" s="18" t="s">
        <v>24</v>
      </c>
      <c r="G12" s="1" t="s">
        <v>25</v>
      </c>
      <c r="H12" s="18" t="s">
        <v>26</v>
      </c>
      <c r="I12" s="1" t="s">
        <v>27</v>
      </c>
      <c r="J12" s="18" t="s">
        <v>28</v>
      </c>
      <c r="K12" s="1" t="s">
        <v>29</v>
      </c>
    </row>
    <row r="13" spans="1:11" x14ac:dyDescent="0.25">
      <c r="B13" t="s">
        <v>21</v>
      </c>
      <c r="D13" s="3">
        <f>D7</f>
        <v>43200</v>
      </c>
      <c r="E13" s="3">
        <f>D13*1.2</f>
        <v>51840</v>
      </c>
      <c r="F13" s="19">
        <f t="shared" ref="F13:K13" si="4">E13*1.2</f>
        <v>62208</v>
      </c>
      <c r="G13" s="3">
        <f t="shared" si="4"/>
        <v>74649.599999999991</v>
      </c>
      <c r="H13" s="19">
        <f t="shared" si="4"/>
        <v>89579.51999999999</v>
      </c>
      <c r="I13" s="3">
        <f t="shared" si="4"/>
        <v>107495.42399999998</v>
      </c>
      <c r="J13" s="19">
        <f t="shared" si="4"/>
        <v>128994.50879999998</v>
      </c>
      <c r="K13" s="3">
        <f t="shared" si="4"/>
        <v>154793.41055999996</v>
      </c>
    </row>
    <row r="14" spans="1:11" x14ac:dyDescent="0.25">
      <c r="B14" s="5" t="s">
        <v>30</v>
      </c>
      <c r="D14" s="4">
        <f>D13</f>
        <v>43200</v>
      </c>
      <c r="E14" s="4">
        <f>SUM(D13:E13)</f>
        <v>95040</v>
      </c>
      <c r="F14" s="20">
        <f t="shared" ref="F14:K14" si="5">E14+F13</f>
        <v>157248</v>
      </c>
      <c r="G14" s="4">
        <f t="shared" si="5"/>
        <v>231897.59999999998</v>
      </c>
      <c r="H14" s="20">
        <f t="shared" si="5"/>
        <v>321477.12</v>
      </c>
      <c r="I14" s="4">
        <f t="shared" si="5"/>
        <v>428972.54399999999</v>
      </c>
      <c r="J14" s="20">
        <f t="shared" si="5"/>
        <v>557967.05279999995</v>
      </c>
      <c r="K14" s="4">
        <f t="shared" si="5"/>
        <v>712760.46335999994</v>
      </c>
    </row>
    <row r="15" spans="1:11" s="11" customFormat="1" x14ac:dyDescent="0.25">
      <c r="B15" s="11" t="s">
        <v>41</v>
      </c>
      <c r="D15" s="13">
        <f>D13</f>
        <v>43200</v>
      </c>
      <c r="E15" s="13">
        <f>E13</f>
        <v>51840</v>
      </c>
      <c r="F15" s="13">
        <f t="shared" ref="F15:K15" si="6">F13*(3800/2800)</f>
        <v>84425.142857142855</v>
      </c>
      <c r="G15" s="13">
        <f t="shared" si="6"/>
        <v>101310.17142857143</v>
      </c>
      <c r="H15" s="13">
        <f t="shared" si="6"/>
        <v>121572.20571428571</v>
      </c>
      <c r="I15" s="13">
        <f t="shared" si="6"/>
        <v>145886.64685714286</v>
      </c>
      <c r="J15" s="13">
        <f t="shared" si="6"/>
        <v>175063.97622857141</v>
      </c>
      <c r="K15" s="13">
        <f t="shared" si="6"/>
        <v>210076.77147428566</v>
      </c>
    </row>
    <row r="16" spans="1:11" s="11" customFormat="1" x14ac:dyDescent="0.25">
      <c r="B16" s="24" t="s">
        <v>30</v>
      </c>
      <c r="D16" s="23">
        <f>D15</f>
        <v>43200</v>
      </c>
      <c r="E16" s="23">
        <f>SUM(D15:E15)</f>
        <v>95040</v>
      </c>
      <c r="F16" s="23">
        <f t="shared" ref="F16:K16" si="7">E16+F15</f>
        <v>179465.14285714284</v>
      </c>
      <c r="G16" s="23">
        <f t="shared" si="7"/>
        <v>280775.3142857143</v>
      </c>
      <c r="H16" s="23">
        <f t="shared" si="7"/>
        <v>402347.52000000002</v>
      </c>
      <c r="I16" s="23">
        <f t="shared" si="7"/>
        <v>548234.16685714293</v>
      </c>
      <c r="J16" s="23">
        <f t="shared" si="7"/>
        <v>723298.14308571431</v>
      </c>
      <c r="K16" s="23">
        <f t="shared" si="7"/>
        <v>933374.91455999995</v>
      </c>
    </row>
    <row r="17" spans="1:11" x14ac:dyDescent="0.25">
      <c r="B17" s="5"/>
      <c r="D17" s="4"/>
      <c r="E17" s="4"/>
      <c r="F17" s="20"/>
      <c r="G17" s="4"/>
      <c r="H17" s="20"/>
      <c r="I17" s="4"/>
      <c r="J17" s="20"/>
      <c r="K17" s="4"/>
    </row>
    <row r="18" spans="1:11" x14ac:dyDescent="0.25">
      <c r="B18" s="1" t="s">
        <v>36</v>
      </c>
    </row>
    <row r="19" spans="1:11" x14ac:dyDescent="0.25">
      <c r="B19" t="s">
        <v>21</v>
      </c>
      <c r="D19" s="3">
        <f>D9</f>
        <v>43200</v>
      </c>
      <c r="E19">
        <f t="shared" ref="E19:K19" si="8">D19*1.3</f>
        <v>56160</v>
      </c>
      <c r="F19" s="19">
        <f t="shared" si="8"/>
        <v>73008</v>
      </c>
      <c r="G19" s="3">
        <f t="shared" si="8"/>
        <v>94910.400000000009</v>
      </c>
      <c r="H19" s="19">
        <f t="shared" si="8"/>
        <v>123383.52000000002</v>
      </c>
      <c r="I19" s="3">
        <f t="shared" si="8"/>
        <v>160398.57600000003</v>
      </c>
      <c r="J19" s="19">
        <f t="shared" si="8"/>
        <v>208518.14880000005</v>
      </c>
      <c r="K19" s="3">
        <f t="shared" si="8"/>
        <v>271073.59344000008</v>
      </c>
    </row>
    <row r="20" spans="1:11" x14ac:dyDescent="0.25">
      <c r="B20" s="5" t="s">
        <v>30</v>
      </c>
      <c r="D20" s="4">
        <f>D19</f>
        <v>43200</v>
      </c>
      <c r="E20" s="4">
        <f t="shared" ref="E20:K20" si="9">D20+E19</f>
        <v>99360</v>
      </c>
      <c r="F20" s="20">
        <f t="shared" si="9"/>
        <v>172368</v>
      </c>
      <c r="G20" s="4">
        <f t="shared" si="9"/>
        <v>267278.40000000002</v>
      </c>
      <c r="H20" s="20">
        <f t="shared" si="9"/>
        <v>390661.92000000004</v>
      </c>
      <c r="I20" s="4">
        <f t="shared" si="9"/>
        <v>551060.49600000004</v>
      </c>
      <c r="J20" s="20">
        <f t="shared" si="9"/>
        <v>759578.64480000013</v>
      </c>
      <c r="K20" s="4">
        <f t="shared" si="9"/>
        <v>1030652.2382400002</v>
      </c>
    </row>
    <row r="21" spans="1:11" s="11" customFormat="1" x14ac:dyDescent="0.25">
      <c r="B21" s="11" t="s">
        <v>41</v>
      </c>
      <c r="D21" s="13">
        <f>D19</f>
        <v>43200</v>
      </c>
      <c r="E21" s="11">
        <f>D21*1.3</f>
        <v>56160</v>
      </c>
      <c r="F21" s="13">
        <f t="shared" ref="F21:K21" si="10">F19*(3800/2800)</f>
        <v>99082.285714285725</v>
      </c>
      <c r="G21" s="13">
        <f t="shared" si="10"/>
        <v>128806.97142857144</v>
      </c>
      <c r="H21" s="13">
        <f t="shared" si="10"/>
        <v>167449.06285714288</v>
      </c>
      <c r="I21" s="13">
        <f t="shared" si="10"/>
        <v>217683.78171428575</v>
      </c>
      <c r="J21" s="13">
        <f t="shared" si="10"/>
        <v>282988.9162285715</v>
      </c>
      <c r="K21" s="13">
        <f t="shared" si="10"/>
        <v>367885.59109714301</v>
      </c>
    </row>
    <row r="22" spans="1:11" s="11" customFormat="1" x14ac:dyDescent="0.25">
      <c r="B22" s="24" t="s">
        <v>30</v>
      </c>
      <c r="D22" s="23">
        <f>D21</f>
        <v>43200</v>
      </c>
      <c r="E22" s="23">
        <f t="shared" ref="E22:K22" si="11">D22+E21</f>
        <v>99360</v>
      </c>
      <c r="F22" s="23">
        <f t="shared" si="11"/>
        <v>198442.28571428574</v>
      </c>
      <c r="G22" s="23">
        <f t="shared" si="11"/>
        <v>327249.25714285718</v>
      </c>
      <c r="H22" s="23">
        <f t="shared" si="11"/>
        <v>494698.32000000007</v>
      </c>
      <c r="I22" s="23">
        <f t="shared" si="11"/>
        <v>712382.10171428579</v>
      </c>
      <c r="J22" s="23">
        <f t="shared" si="11"/>
        <v>995371.01794285723</v>
      </c>
      <c r="K22" s="23">
        <f t="shared" si="11"/>
        <v>1363256.6090400002</v>
      </c>
    </row>
    <row r="25" spans="1:11" x14ac:dyDescent="0.25">
      <c r="A25" s="1" t="s">
        <v>34</v>
      </c>
      <c r="B25" s="1" t="s">
        <v>37</v>
      </c>
      <c r="D25" s="1" t="s">
        <v>22</v>
      </c>
      <c r="E25" s="1" t="s">
        <v>23</v>
      </c>
      <c r="F25" s="18" t="s">
        <v>24</v>
      </c>
      <c r="G25" s="1" t="s">
        <v>25</v>
      </c>
      <c r="H25" s="18" t="s">
        <v>26</v>
      </c>
      <c r="I25" s="1" t="s">
        <v>27</v>
      </c>
      <c r="J25" s="18" t="s">
        <v>28</v>
      </c>
      <c r="K25" s="1" t="s">
        <v>29</v>
      </c>
    </row>
    <row r="26" spans="1:11" x14ac:dyDescent="0.25">
      <c r="B26" t="s">
        <v>21</v>
      </c>
      <c r="D26" s="3">
        <f>'Current Situation (May 2013)'!J16</f>
        <v>18144</v>
      </c>
      <c r="E26" s="3">
        <f>D26*1.1</f>
        <v>19958.400000000001</v>
      </c>
      <c r="F26" s="19">
        <f t="shared" ref="F26:K26" si="12">E26*1.1</f>
        <v>21954.240000000002</v>
      </c>
      <c r="G26" s="3">
        <f t="shared" si="12"/>
        <v>24149.664000000004</v>
      </c>
      <c r="H26" s="19">
        <f t="shared" si="12"/>
        <v>26564.630400000005</v>
      </c>
      <c r="I26" s="3">
        <f t="shared" si="12"/>
        <v>29221.093440000008</v>
      </c>
      <c r="J26" s="19">
        <f t="shared" si="12"/>
        <v>32143.202784000012</v>
      </c>
      <c r="K26" s="3">
        <f t="shared" si="12"/>
        <v>35357.523062400018</v>
      </c>
    </row>
    <row r="27" spans="1:11" x14ac:dyDescent="0.25">
      <c r="B27" s="5" t="s">
        <v>30</v>
      </c>
      <c r="D27" s="4">
        <f>D26</f>
        <v>18144</v>
      </c>
      <c r="E27" s="4">
        <f>SUM(D26:E26)</f>
        <v>38102.400000000001</v>
      </c>
      <c r="F27" s="20">
        <f t="shared" ref="F27:K27" si="13">E27+F26</f>
        <v>60056.639999999999</v>
      </c>
      <c r="G27" s="4">
        <f t="shared" si="13"/>
        <v>84206.304000000004</v>
      </c>
      <c r="H27" s="20">
        <f t="shared" si="13"/>
        <v>110770.93440000001</v>
      </c>
      <c r="I27" s="4">
        <f t="shared" si="13"/>
        <v>139992.02784000002</v>
      </c>
      <c r="J27" s="20">
        <f t="shared" si="13"/>
        <v>172135.23062400005</v>
      </c>
      <c r="K27" s="4">
        <f t="shared" si="13"/>
        <v>207492.75368640007</v>
      </c>
    </row>
    <row r="28" spans="1:11" s="11" customFormat="1" x14ac:dyDescent="0.25">
      <c r="B28" s="11" t="s">
        <v>41</v>
      </c>
      <c r="D28" s="13">
        <f>D26</f>
        <v>18144</v>
      </c>
      <c r="E28" s="13">
        <f>E26</f>
        <v>19958.400000000001</v>
      </c>
      <c r="F28" s="13">
        <f t="shared" ref="F28:K28" si="14">F26*(3800/2800)</f>
        <v>29795.040000000005</v>
      </c>
      <c r="G28" s="13">
        <f t="shared" si="14"/>
        <v>32774.544000000009</v>
      </c>
      <c r="H28" s="13">
        <f t="shared" si="14"/>
        <v>36051.998400000011</v>
      </c>
      <c r="I28" s="13">
        <f t="shared" si="14"/>
        <v>39657.198240000012</v>
      </c>
      <c r="J28" s="13">
        <f t="shared" si="14"/>
        <v>43622.91806400002</v>
      </c>
      <c r="K28" s="13">
        <f t="shared" si="14"/>
        <v>47985.209870400024</v>
      </c>
    </row>
    <row r="29" spans="1:11" s="11" customFormat="1" x14ac:dyDescent="0.25">
      <c r="B29" s="24" t="s">
        <v>30</v>
      </c>
      <c r="D29" s="23">
        <f>D28</f>
        <v>18144</v>
      </c>
      <c r="E29" s="23">
        <f>SUM(D28:E28)</f>
        <v>38102.400000000001</v>
      </c>
      <c r="F29" s="23">
        <f t="shared" ref="F29:K29" si="15">E29+F28</f>
        <v>67897.440000000002</v>
      </c>
      <c r="G29" s="23">
        <f t="shared" si="15"/>
        <v>100671.98400000001</v>
      </c>
      <c r="H29" s="23">
        <f t="shared" si="15"/>
        <v>136723.98240000004</v>
      </c>
      <c r="I29" s="23">
        <f t="shared" si="15"/>
        <v>176381.18064000004</v>
      </c>
      <c r="J29" s="23">
        <f t="shared" si="15"/>
        <v>220004.09870400006</v>
      </c>
      <c r="K29" s="23">
        <f t="shared" si="15"/>
        <v>267989.30857440009</v>
      </c>
    </row>
    <row r="30" spans="1:11" x14ac:dyDescent="0.25">
      <c r="A30" s="1"/>
      <c r="B30" s="5"/>
      <c r="D30" s="4"/>
      <c r="E30" s="4"/>
      <c r="F30" s="20"/>
      <c r="G30" s="4"/>
      <c r="H30" s="20"/>
      <c r="I30" s="4"/>
      <c r="J30" s="20"/>
      <c r="K30" s="4"/>
    </row>
    <row r="31" spans="1:11" x14ac:dyDescent="0.25">
      <c r="A31" s="1"/>
      <c r="B31" s="1" t="s">
        <v>39</v>
      </c>
      <c r="D31" s="1" t="s">
        <v>22</v>
      </c>
      <c r="E31" s="1" t="s">
        <v>23</v>
      </c>
      <c r="F31" s="18" t="s">
        <v>24</v>
      </c>
      <c r="G31" s="1" t="s">
        <v>25</v>
      </c>
      <c r="H31" s="18" t="s">
        <v>26</v>
      </c>
      <c r="I31" s="1" t="s">
        <v>27</v>
      </c>
      <c r="J31" s="18" t="s">
        <v>28</v>
      </c>
      <c r="K31" s="1" t="s">
        <v>29</v>
      </c>
    </row>
    <row r="32" spans="1:11" x14ac:dyDescent="0.25">
      <c r="A32" s="1"/>
      <c r="B32" t="s">
        <v>21</v>
      </c>
      <c r="D32" s="3">
        <f>D26</f>
        <v>18144</v>
      </c>
      <c r="E32" s="3">
        <f>D32*1.2</f>
        <v>21772.799999999999</v>
      </c>
      <c r="F32" s="19">
        <f t="shared" ref="F32:K32" si="16">E32*1.2</f>
        <v>26127.359999999997</v>
      </c>
      <c r="G32" s="3">
        <f t="shared" si="16"/>
        <v>31352.831999999995</v>
      </c>
      <c r="H32" s="19">
        <f t="shared" si="16"/>
        <v>37623.398399999991</v>
      </c>
      <c r="I32" s="3">
        <f t="shared" si="16"/>
        <v>45148.078079999985</v>
      </c>
      <c r="J32" s="19">
        <f t="shared" si="16"/>
        <v>54177.69369599998</v>
      </c>
      <c r="K32" s="3">
        <f t="shared" si="16"/>
        <v>65013.23243519997</v>
      </c>
    </row>
    <row r="33" spans="1:11" x14ac:dyDescent="0.25">
      <c r="A33" s="1"/>
      <c r="B33" s="5" t="s">
        <v>30</v>
      </c>
      <c r="D33" s="4">
        <f>D32</f>
        <v>18144</v>
      </c>
      <c r="E33" s="4">
        <f>SUM(D32:E32)</f>
        <v>39916.800000000003</v>
      </c>
      <c r="F33" s="20">
        <f t="shared" ref="F33:K33" si="17">E33+F32</f>
        <v>66044.160000000003</v>
      </c>
      <c r="G33" s="4">
        <f t="shared" si="17"/>
        <v>97396.991999999998</v>
      </c>
      <c r="H33" s="20">
        <f t="shared" si="17"/>
        <v>135020.39039999997</v>
      </c>
      <c r="I33" s="4">
        <f t="shared" si="17"/>
        <v>180168.46847999995</v>
      </c>
      <c r="J33" s="20">
        <f t="shared" si="17"/>
        <v>234346.16217599993</v>
      </c>
      <c r="K33" s="4">
        <f t="shared" si="17"/>
        <v>299359.39461119991</v>
      </c>
    </row>
    <row r="34" spans="1:11" s="11" customFormat="1" x14ac:dyDescent="0.25">
      <c r="A34" s="10"/>
      <c r="B34" s="11" t="s">
        <v>41</v>
      </c>
      <c r="D34" s="13">
        <f>D32</f>
        <v>18144</v>
      </c>
      <c r="E34" s="13">
        <f>E32</f>
        <v>21772.799999999999</v>
      </c>
      <c r="F34" s="13">
        <f t="shared" ref="F34:K34" si="18">F32*(3800/2800)</f>
        <v>35458.559999999998</v>
      </c>
      <c r="G34" s="13">
        <f t="shared" si="18"/>
        <v>42550.271999999997</v>
      </c>
      <c r="H34" s="13">
        <f t="shared" si="18"/>
        <v>51060.326399999991</v>
      </c>
      <c r="I34" s="13">
        <f t="shared" si="18"/>
        <v>61272.391679999979</v>
      </c>
      <c r="J34" s="13">
        <f t="shared" si="18"/>
        <v>73526.870015999972</v>
      </c>
      <c r="K34" s="13">
        <f t="shared" si="18"/>
        <v>88232.244019199963</v>
      </c>
    </row>
    <row r="35" spans="1:11" s="11" customFormat="1" x14ac:dyDescent="0.25">
      <c r="A35" s="10"/>
      <c r="B35" s="24" t="s">
        <v>30</v>
      </c>
      <c r="D35" s="23">
        <f>D34</f>
        <v>18144</v>
      </c>
      <c r="E35" s="23">
        <f>SUM(D34:E34)</f>
        <v>39916.800000000003</v>
      </c>
      <c r="F35" s="23">
        <f t="shared" ref="F35:K35" si="19">E35+F34</f>
        <v>75375.360000000001</v>
      </c>
      <c r="G35" s="23">
        <f t="shared" si="19"/>
        <v>117925.632</v>
      </c>
      <c r="H35" s="23">
        <f t="shared" si="19"/>
        <v>168985.9584</v>
      </c>
      <c r="I35" s="23">
        <f t="shared" si="19"/>
        <v>230258.35007999997</v>
      </c>
      <c r="J35" s="23">
        <f t="shared" si="19"/>
        <v>303785.22009599995</v>
      </c>
      <c r="K35" s="23">
        <f t="shared" si="19"/>
        <v>392017.46411519992</v>
      </c>
    </row>
    <row r="36" spans="1:11" x14ac:dyDescent="0.25">
      <c r="A36" s="1"/>
      <c r="B36" s="5"/>
      <c r="D36" s="4"/>
      <c r="E36" s="4"/>
      <c r="F36" s="20"/>
      <c r="G36" s="4"/>
      <c r="H36" s="20"/>
      <c r="I36" s="4"/>
      <c r="J36" s="20"/>
      <c r="K36" s="4"/>
    </row>
    <row r="37" spans="1:11" x14ac:dyDescent="0.25">
      <c r="B37" s="1" t="s">
        <v>36</v>
      </c>
    </row>
    <row r="38" spans="1:11" x14ac:dyDescent="0.25">
      <c r="B38" t="s">
        <v>21</v>
      </c>
      <c r="D38" s="3">
        <f>D28</f>
        <v>18144</v>
      </c>
      <c r="E38">
        <f t="shared" ref="E38:K38" si="20">D38*1.3</f>
        <v>23587.200000000001</v>
      </c>
      <c r="F38" s="19">
        <f t="shared" si="20"/>
        <v>30663.360000000001</v>
      </c>
      <c r="G38" s="3">
        <f t="shared" si="20"/>
        <v>39862.368000000002</v>
      </c>
      <c r="H38" s="19">
        <f t="shared" si="20"/>
        <v>51821.078400000006</v>
      </c>
      <c r="I38" s="3">
        <f t="shared" si="20"/>
        <v>67367.401920000004</v>
      </c>
      <c r="J38" s="19">
        <f t="shared" si="20"/>
        <v>87577.622496000011</v>
      </c>
      <c r="K38" s="3">
        <f t="shared" si="20"/>
        <v>113850.90924480002</v>
      </c>
    </row>
    <row r="39" spans="1:11" x14ac:dyDescent="0.25">
      <c r="B39" s="5" t="s">
        <v>30</v>
      </c>
      <c r="D39" s="4">
        <f>D38</f>
        <v>18144</v>
      </c>
      <c r="E39" s="4">
        <f t="shared" ref="E39:J39" si="21">D39+E38</f>
        <v>41731.199999999997</v>
      </c>
      <c r="F39" s="20">
        <f t="shared" si="21"/>
        <v>72394.559999999998</v>
      </c>
      <c r="G39" s="4">
        <f t="shared" si="21"/>
        <v>112256.928</v>
      </c>
      <c r="H39" s="20">
        <f t="shared" si="21"/>
        <v>164078.00640000001</v>
      </c>
      <c r="I39" s="4">
        <f t="shared" si="21"/>
        <v>231445.40832000002</v>
      </c>
      <c r="J39" s="20">
        <f t="shared" si="21"/>
        <v>319023.03081600001</v>
      </c>
      <c r="K39" s="4">
        <f>J39+K38</f>
        <v>432873.94006080006</v>
      </c>
    </row>
    <row r="40" spans="1:11" s="11" customFormat="1" x14ac:dyDescent="0.25">
      <c r="B40" s="11" t="s">
        <v>41</v>
      </c>
      <c r="D40" s="13">
        <f>D38</f>
        <v>18144</v>
      </c>
      <c r="E40" s="11">
        <f>D40*1.3</f>
        <v>23587.200000000001</v>
      </c>
      <c r="F40" s="13">
        <f t="shared" ref="F40:K40" si="22">F38*(3800/2800)</f>
        <v>41614.560000000005</v>
      </c>
      <c r="G40" s="13">
        <f t="shared" si="22"/>
        <v>54098.928000000007</v>
      </c>
      <c r="H40" s="13">
        <f t="shared" si="22"/>
        <v>70328.606400000004</v>
      </c>
      <c r="I40" s="13">
        <f t="shared" si="22"/>
        <v>91427.188320000016</v>
      </c>
      <c r="J40" s="13">
        <f t="shared" si="22"/>
        <v>118855.34481600003</v>
      </c>
      <c r="K40" s="13">
        <f t="shared" si="22"/>
        <v>154511.94826080004</v>
      </c>
    </row>
    <row r="41" spans="1:11" s="34" customFormat="1" x14ac:dyDescent="0.25">
      <c r="B41" s="35" t="s">
        <v>30</v>
      </c>
      <c r="D41" s="36">
        <f>D40</f>
        <v>18144</v>
      </c>
      <c r="E41" s="36">
        <f t="shared" ref="E41:K41" si="23">D41+E40</f>
        <v>41731.199999999997</v>
      </c>
      <c r="F41" s="36">
        <f t="shared" si="23"/>
        <v>83345.760000000009</v>
      </c>
      <c r="G41" s="36">
        <f t="shared" si="23"/>
        <v>137444.68800000002</v>
      </c>
      <c r="H41" s="36">
        <f t="shared" si="23"/>
        <v>207773.29440000001</v>
      </c>
      <c r="I41" s="36">
        <f t="shared" si="23"/>
        <v>299200.48272000003</v>
      </c>
      <c r="J41" s="36">
        <f t="shared" si="23"/>
        <v>418055.82753600006</v>
      </c>
      <c r="K41" s="36">
        <f t="shared" si="23"/>
        <v>572567.77579680015</v>
      </c>
    </row>
    <row r="43" spans="1:11" x14ac:dyDescent="0.25">
      <c r="A43" s="1" t="s">
        <v>89</v>
      </c>
      <c r="D43" s="1" t="s">
        <v>22</v>
      </c>
      <c r="E43" s="1" t="s">
        <v>23</v>
      </c>
      <c r="F43" s="18" t="s">
        <v>24</v>
      </c>
      <c r="G43" s="1" t="s">
        <v>25</v>
      </c>
      <c r="H43" s="18" t="s">
        <v>26</v>
      </c>
      <c r="I43" s="1" t="s">
        <v>27</v>
      </c>
      <c r="J43" s="18" t="s">
        <v>28</v>
      </c>
      <c r="K43" s="1" t="s">
        <v>29</v>
      </c>
    </row>
    <row r="44" spans="1:11" x14ac:dyDescent="0.25">
      <c r="A44" s="1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B45" t="s">
        <v>91</v>
      </c>
      <c r="D45" s="14">
        <f>Cost_Benefit_Analysis!R25</f>
        <v>0</v>
      </c>
      <c r="E45" s="14">
        <f>D45*(1+Cost_Benefit_Analysis!$R$9)</f>
        <v>0</v>
      </c>
      <c r="F45" s="14">
        <f>E45*(1+Cost_Benefit_Analysis!$R$9)</f>
        <v>0</v>
      </c>
      <c r="G45" s="14">
        <f>F45*(1+Cost_Benefit_Analysis!$R$9)</f>
        <v>0</v>
      </c>
      <c r="H45" s="14">
        <f>G45*(1+Cost_Benefit_Analysis!$R$9)</f>
        <v>0</v>
      </c>
      <c r="I45" s="14">
        <f>H45*(1+Cost_Benefit_Analysis!$R$9)</f>
        <v>0</v>
      </c>
      <c r="J45" s="14">
        <f>I45*(1+Cost_Benefit_Analysis!$R$9)</f>
        <v>0</v>
      </c>
      <c r="K45" s="14">
        <f>J45*(1+Cost_Benefit_Analysis!$R$9)</f>
        <v>0</v>
      </c>
    </row>
    <row r="46" spans="1:11" x14ac:dyDescent="0.25">
      <c r="B46" s="1" t="s">
        <v>30</v>
      </c>
      <c r="D46" s="15">
        <f>SUM(D45)</f>
        <v>0</v>
      </c>
      <c r="E46" s="15">
        <f t="shared" ref="E46:K46" si="24">D46+SUM(E45)</f>
        <v>0</v>
      </c>
      <c r="F46" s="15">
        <f t="shared" si="24"/>
        <v>0</v>
      </c>
      <c r="G46" s="15">
        <f t="shared" si="24"/>
        <v>0</v>
      </c>
      <c r="H46" s="15">
        <f t="shared" si="24"/>
        <v>0</v>
      </c>
      <c r="I46" s="15">
        <f t="shared" si="24"/>
        <v>0</v>
      </c>
      <c r="J46" s="15">
        <f t="shared" si="24"/>
        <v>0</v>
      </c>
      <c r="K46" s="15">
        <f t="shared" si="24"/>
        <v>0</v>
      </c>
    </row>
    <row r="49" spans="1:12" x14ac:dyDescent="0.25">
      <c r="A49" s="1" t="s">
        <v>52</v>
      </c>
      <c r="D49" s="1" t="s">
        <v>22</v>
      </c>
      <c r="E49" s="1" t="s">
        <v>23</v>
      </c>
      <c r="F49" s="18" t="s">
        <v>24</v>
      </c>
      <c r="G49" s="1" t="s">
        <v>25</v>
      </c>
      <c r="H49" s="18" t="s">
        <v>26</v>
      </c>
      <c r="I49" s="1" t="s">
        <v>27</v>
      </c>
      <c r="J49" s="18" t="s">
        <v>28</v>
      </c>
      <c r="K49" s="1" t="s">
        <v>29</v>
      </c>
    </row>
    <row r="50" spans="1:12" x14ac:dyDescent="0.25">
      <c r="A50" t="s">
        <v>45</v>
      </c>
      <c r="B50" t="s">
        <v>42</v>
      </c>
      <c r="D50" s="14">
        <f>Cost_Benefit_Analysis!R14</f>
        <v>180000</v>
      </c>
      <c r="E50" s="14">
        <f>Cost_Benefit_Analysis!R20</f>
        <v>2000</v>
      </c>
      <c r="F50" s="21">
        <f>E50*(1+Cost_Benefit_Analysis!R9)</f>
        <v>2100</v>
      </c>
      <c r="G50" s="14">
        <f>(E50*(1+Cost_Benefit_Analysis!R9)^2)+Cost_Benefit_Analysis!R21*1.05^3</f>
        <v>13781.250000000002</v>
      </c>
      <c r="H50" s="21">
        <f>E50*(1+Cost_Benefit_Analysis!R9)^3</f>
        <v>2315.2500000000005</v>
      </c>
      <c r="I50" s="14">
        <f>(E50*(1+Cost_Benefit_Analysis!R9)^4)+Cost_Benefit_Analysis!R21*1.05^5</f>
        <v>15193.828125</v>
      </c>
      <c r="J50" s="21">
        <f>E50*(1+Cost_Benefit_Analysis!R9)^5</f>
        <v>2552.5631250000001</v>
      </c>
      <c r="K50" s="14">
        <f>(E50*(1+Cost_Benefit_Analysis!R9)^6)+Cost_Benefit_Analysis!R21*1.05^7</f>
        <v>16751.195507812503</v>
      </c>
    </row>
    <row r="51" spans="1:12" x14ac:dyDescent="0.25">
      <c r="A51" s="25" t="s">
        <v>59</v>
      </c>
      <c r="B51" t="s">
        <v>54</v>
      </c>
      <c r="D51" s="14">
        <f>Cost_Benefit_Analysis!R18</f>
        <v>14400</v>
      </c>
      <c r="E51" s="14"/>
      <c r="F51" s="21"/>
      <c r="G51" s="14"/>
      <c r="H51" s="21"/>
      <c r="I51" s="14"/>
      <c r="J51" s="21"/>
      <c r="K51" s="14"/>
    </row>
    <row r="52" spans="1:12" x14ac:dyDescent="0.25">
      <c r="B52" t="s">
        <v>85</v>
      </c>
      <c r="D52" s="14">
        <f>0.2*D32+Cost_Benefit_Analysis!R23</f>
        <v>3628.8</v>
      </c>
      <c r="E52" s="14">
        <f>D52*(1.2)</f>
        <v>4354.5600000000004</v>
      </c>
      <c r="F52" s="14">
        <f t="shared" ref="F52:K52" si="25">E52*(1.2)</f>
        <v>5225.4720000000007</v>
      </c>
      <c r="G52" s="14">
        <f t="shared" si="25"/>
        <v>6270.5664000000006</v>
      </c>
      <c r="H52" s="14">
        <f t="shared" si="25"/>
        <v>7524.6796800000002</v>
      </c>
      <c r="I52" s="14">
        <f t="shared" si="25"/>
        <v>9029.6156159999991</v>
      </c>
      <c r="J52" s="14">
        <f t="shared" si="25"/>
        <v>10835.538739199999</v>
      </c>
      <c r="K52" s="14">
        <f t="shared" si="25"/>
        <v>13002.64648704</v>
      </c>
    </row>
    <row r="53" spans="1:12" x14ac:dyDescent="0.25">
      <c r="B53" t="s">
        <v>99</v>
      </c>
      <c r="D53" s="14">
        <f>'Year-on-Year Costs (10% infl)'!D53</f>
        <v>0</v>
      </c>
      <c r="E53" s="14">
        <f>'Year-on-Year Costs (10% infl)'!E53</f>
        <v>0</v>
      </c>
      <c r="F53" s="14">
        <f>'Year-on-Year Costs (10% infl)'!F53</f>
        <v>0</v>
      </c>
      <c r="G53" s="14">
        <f>'Year-on-Year Costs (10% infl)'!G53</f>
        <v>0</v>
      </c>
      <c r="H53" s="14">
        <f>'Year-on-Year Costs (10% infl)'!H53</f>
        <v>0</v>
      </c>
      <c r="I53" s="14">
        <f>'Year-on-Year Costs (10% infl)'!I53</f>
        <v>0</v>
      </c>
      <c r="J53" s="14">
        <f>'Year-on-Year Costs (10% infl)'!J53</f>
        <v>0</v>
      </c>
      <c r="K53" s="14">
        <f>'Year-on-Year Costs (10% infl)'!K53</f>
        <v>0</v>
      </c>
    </row>
    <row r="54" spans="1:12" x14ac:dyDescent="0.25">
      <c r="B54" t="s">
        <v>74</v>
      </c>
      <c r="D54" s="14">
        <f>Cost_Benefit_Analysis!$R$27*Cost_Benefit_Analysis!$R$28*24*365</f>
        <v>3066</v>
      </c>
      <c r="E54" s="14">
        <f>D54*(1+Cost_Benefit_Analysis!$R$9)</f>
        <v>3219.3</v>
      </c>
      <c r="F54" s="14">
        <f>E54*(1+Cost_Benefit_Analysis!$R$9)</f>
        <v>3380.2650000000003</v>
      </c>
      <c r="G54" s="14">
        <f>F54*(1+Cost_Benefit_Analysis!$R$9)</f>
        <v>3549.2782500000003</v>
      </c>
      <c r="H54" s="14">
        <f>G54*(1+Cost_Benefit_Analysis!$R$9)</f>
        <v>3726.7421625000006</v>
      </c>
      <c r="I54" s="14">
        <f>H54*(1+Cost_Benefit_Analysis!$R$9)</f>
        <v>3913.0792706250008</v>
      </c>
      <c r="J54" s="14">
        <f>I54*(1+Cost_Benefit_Analysis!$R$9)</f>
        <v>4108.7332341562515</v>
      </c>
      <c r="K54" s="14">
        <f>J54*(1+Cost_Benefit_Analysis!$R$9)</f>
        <v>4314.1698958640645</v>
      </c>
    </row>
    <row r="55" spans="1:12" x14ac:dyDescent="0.25">
      <c r="B55" s="1" t="s">
        <v>30</v>
      </c>
      <c r="D55" s="15">
        <f>SUM(D50:D54)</f>
        <v>201094.8</v>
      </c>
      <c r="E55" s="15">
        <f t="shared" ref="E55:K55" si="26">D55+SUM(E50:E54)</f>
        <v>210668.65999999997</v>
      </c>
      <c r="F55" s="15">
        <f t="shared" si="26"/>
        <v>221374.39699999997</v>
      </c>
      <c r="G55" s="15">
        <f t="shared" si="26"/>
        <v>244975.49164999998</v>
      </c>
      <c r="H55" s="15">
        <f t="shared" si="26"/>
        <v>258542.1634925</v>
      </c>
      <c r="I55" s="15">
        <f t="shared" si="26"/>
        <v>286678.68650412501</v>
      </c>
      <c r="J55" s="15">
        <f t="shared" si="26"/>
        <v>304175.52160248125</v>
      </c>
      <c r="K55" s="15">
        <f t="shared" si="26"/>
        <v>338243.53349319781</v>
      </c>
    </row>
    <row r="57" spans="1:12" x14ac:dyDescent="0.25">
      <c r="A57" t="s">
        <v>46</v>
      </c>
      <c r="B57" t="s">
        <v>42</v>
      </c>
      <c r="D57" s="14">
        <f>D50+Cost_Benefit_Analysis!R16</f>
        <v>192000</v>
      </c>
      <c r="E57" s="14">
        <f t="shared" ref="E57:K57" si="27">E50</f>
        <v>2000</v>
      </c>
      <c r="F57" s="14">
        <f t="shared" si="27"/>
        <v>2100</v>
      </c>
      <c r="G57" s="14">
        <f t="shared" si="27"/>
        <v>13781.250000000002</v>
      </c>
      <c r="H57" s="14">
        <f t="shared" si="27"/>
        <v>2315.2500000000005</v>
      </c>
      <c r="I57" s="14">
        <f t="shared" si="27"/>
        <v>15193.828125</v>
      </c>
      <c r="J57" s="14">
        <f t="shared" si="27"/>
        <v>2552.5631250000001</v>
      </c>
      <c r="K57" s="14">
        <f t="shared" si="27"/>
        <v>16751.195507812503</v>
      </c>
      <c r="L57" s="15">
        <f>SUM(E57:K57)</f>
        <v>54694.086757812503</v>
      </c>
    </row>
    <row r="58" spans="1:12" x14ac:dyDescent="0.25">
      <c r="B58" t="s">
        <v>54</v>
      </c>
      <c r="D58" s="14">
        <f>D51</f>
        <v>14400</v>
      </c>
      <c r="E58" s="14"/>
      <c r="F58" s="21"/>
      <c r="G58" s="14"/>
      <c r="H58" s="21"/>
      <c r="I58" s="14"/>
      <c r="J58" s="21"/>
      <c r="K58" s="14"/>
    </row>
    <row r="59" spans="1:12" x14ac:dyDescent="0.25">
      <c r="B59" t="s">
        <v>85</v>
      </c>
      <c r="D59" s="14">
        <f>0.1*D32+Cost_Benefit_Analysis!R23</f>
        <v>1814.4</v>
      </c>
      <c r="E59" s="14">
        <f>D59*(1.2)</f>
        <v>2177.2800000000002</v>
      </c>
      <c r="F59" s="14">
        <f t="shared" ref="F59:K59" si="28">E59*(1.2)</f>
        <v>2612.7360000000003</v>
      </c>
      <c r="G59" s="14">
        <f t="shared" si="28"/>
        <v>3135.2832000000003</v>
      </c>
      <c r="H59" s="14">
        <f t="shared" si="28"/>
        <v>3762.3398400000001</v>
      </c>
      <c r="I59" s="14">
        <f t="shared" si="28"/>
        <v>4514.8078079999996</v>
      </c>
      <c r="J59" s="14">
        <f t="shared" si="28"/>
        <v>5417.7693695999997</v>
      </c>
      <c r="K59" s="14">
        <f t="shared" si="28"/>
        <v>6501.3232435199998</v>
      </c>
      <c r="L59" s="15">
        <f>SUM(D59:K59)</f>
        <v>29935.93946112</v>
      </c>
    </row>
    <row r="60" spans="1:12" x14ac:dyDescent="0.25">
      <c r="B60" t="s">
        <v>99</v>
      </c>
      <c r="D60" s="14">
        <f>'Year-on-Year Costs (10% infl)'!D60</f>
        <v>0</v>
      </c>
      <c r="E60" s="14">
        <f>'Year-on-Year Costs (10% infl)'!E60</f>
        <v>0</v>
      </c>
      <c r="F60" s="14">
        <f>'Year-on-Year Costs (10% infl)'!F60</f>
        <v>0</v>
      </c>
      <c r="G60" s="14">
        <f>'Year-on-Year Costs (10% infl)'!G60</f>
        <v>0</v>
      </c>
      <c r="H60" s="14">
        <f>'Year-on-Year Costs (10% infl)'!H60</f>
        <v>0</v>
      </c>
      <c r="I60" s="14">
        <f>'Year-on-Year Costs (10% infl)'!I60</f>
        <v>0</v>
      </c>
      <c r="J60" s="14">
        <f>'Year-on-Year Costs (10% infl)'!J60</f>
        <v>0</v>
      </c>
      <c r="K60" s="14">
        <f>'Year-on-Year Costs (10% infl)'!K60</f>
        <v>0</v>
      </c>
    </row>
    <row r="61" spans="1:12" x14ac:dyDescent="0.25">
      <c r="B61" t="s">
        <v>74</v>
      </c>
      <c r="D61" s="14">
        <f>D54</f>
        <v>3066</v>
      </c>
      <c r="E61" s="14">
        <f>D61*(1+Cost_Benefit_Analysis!$R$9)</f>
        <v>3219.3</v>
      </c>
      <c r="F61" s="14">
        <f>E61*(1+Cost_Benefit_Analysis!$R$9)</f>
        <v>3380.2650000000003</v>
      </c>
      <c r="G61" s="14">
        <f>F61*(1+Cost_Benefit_Analysis!$R$9)</f>
        <v>3549.2782500000003</v>
      </c>
      <c r="H61" s="14">
        <f>G61*(1+Cost_Benefit_Analysis!$R$9)</f>
        <v>3726.7421625000006</v>
      </c>
      <c r="I61" s="14">
        <f>H61*(1+Cost_Benefit_Analysis!$R$9)</f>
        <v>3913.0792706250008</v>
      </c>
      <c r="J61" s="14">
        <f>I61*(1+Cost_Benefit_Analysis!$R$9)</f>
        <v>4108.7332341562515</v>
      </c>
      <c r="K61" s="14">
        <f>J61*(1+Cost_Benefit_Analysis!$R$9)</f>
        <v>4314.1698958640645</v>
      </c>
      <c r="L61" s="15">
        <f>SUM(D61:K61)</f>
        <v>29277.567813145317</v>
      </c>
    </row>
    <row r="62" spans="1:12" x14ac:dyDescent="0.25">
      <c r="B62" s="1" t="s">
        <v>30</v>
      </c>
      <c r="D62" s="15">
        <f>SUM(D57:D61)</f>
        <v>211280.4</v>
      </c>
      <c r="E62" s="15">
        <f t="shared" ref="E62:K62" si="29">D62+SUM(E57:E61)</f>
        <v>218676.97999999998</v>
      </c>
      <c r="F62" s="15">
        <f t="shared" si="29"/>
        <v>226769.98099999997</v>
      </c>
      <c r="G62" s="15">
        <f t="shared" si="29"/>
        <v>247235.79244999998</v>
      </c>
      <c r="H62" s="15">
        <f t="shared" si="29"/>
        <v>257040.12445249999</v>
      </c>
      <c r="I62" s="15">
        <f t="shared" si="29"/>
        <v>280661.839656125</v>
      </c>
      <c r="J62" s="15">
        <f t="shared" si="29"/>
        <v>292740.90538488125</v>
      </c>
      <c r="K62" s="15">
        <f t="shared" si="29"/>
        <v>320307.59403207782</v>
      </c>
    </row>
    <row r="65" spans="1:12" x14ac:dyDescent="0.25">
      <c r="A65" s="1" t="s">
        <v>53</v>
      </c>
      <c r="D65" s="1" t="s">
        <v>22</v>
      </c>
      <c r="E65" s="1" t="s">
        <v>23</v>
      </c>
      <c r="F65" s="18" t="s">
        <v>24</v>
      </c>
      <c r="G65" s="1" t="s">
        <v>25</v>
      </c>
      <c r="H65" s="18" t="s">
        <v>26</v>
      </c>
      <c r="I65" s="1" t="s">
        <v>27</v>
      </c>
      <c r="J65" s="18" t="s">
        <v>28</v>
      </c>
      <c r="K65" s="1" t="s">
        <v>29</v>
      </c>
    </row>
    <row r="66" spans="1:12" x14ac:dyDescent="0.25">
      <c r="A66" t="s">
        <v>45</v>
      </c>
      <c r="B66" t="s">
        <v>42</v>
      </c>
      <c r="D66" s="14">
        <f t="shared" ref="D66:K66" si="30">D50</f>
        <v>180000</v>
      </c>
      <c r="E66" s="14">
        <f t="shared" si="30"/>
        <v>2000</v>
      </c>
      <c r="F66" s="14">
        <f t="shared" si="30"/>
        <v>2100</v>
      </c>
      <c r="G66" s="14">
        <f>G50</f>
        <v>13781.250000000002</v>
      </c>
      <c r="H66" s="14">
        <f t="shared" si="30"/>
        <v>2315.2500000000005</v>
      </c>
      <c r="I66" s="14">
        <f t="shared" si="30"/>
        <v>15193.828125</v>
      </c>
      <c r="J66" s="14">
        <f t="shared" si="30"/>
        <v>2552.5631250000001</v>
      </c>
      <c r="K66" s="14">
        <f t="shared" si="30"/>
        <v>16751.195507812503</v>
      </c>
    </row>
    <row r="67" spans="1:12" x14ac:dyDescent="0.25">
      <c r="B67" t="s">
        <v>54</v>
      </c>
      <c r="D67" s="14">
        <f>D58</f>
        <v>14400</v>
      </c>
      <c r="E67" s="14"/>
      <c r="F67" s="21"/>
      <c r="G67" s="14"/>
      <c r="H67" s="21"/>
      <c r="I67" s="14"/>
      <c r="J67" s="21"/>
      <c r="K67" s="14"/>
    </row>
    <row r="68" spans="1:12" x14ac:dyDescent="0.25">
      <c r="B68" t="s">
        <v>94</v>
      </c>
      <c r="D68" s="14">
        <f>0.2*D32+Cost_Benefit_Analysis!R23</f>
        <v>3628.8</v>
      </c>
      <c r="E68" s="14">
        <f>D68*(1.2)</f>
        <v>4354.5600000000004</v>
      </c>
      <c r="F68" s="14">
        <f t="shared" ref="F68:K68" si="31">E68*(1.2)</f>
        <v>5225.4720000000007</v>
      </c>
      <c r="G68" s="14">
        <f t="shared" si="31"/>
        <v>6270.5664000000006</v>
      </c>
      <c r="H68" s="14">
        <f t="shared" si="31"/>
        <v>7524.6796800000002</v>
      </c>
      <c r="I68" s="14">
        <f t="shared" si="31"/>
        <v>9029.6156159999991</v>
      </c>
      <c r="J68" s="14">
        <f t="shared" si="31"/>
        <v>10835.538739199999</v>
      </c>
      <c r="K68" s="14">
        <f t="shared" si="31"/>
        <v>13002.64648704</v>
      </c>
      <c r="L68" s="14"/>
    </row>
    <row r="69" spans="1:12" x14ac:dyDescent="0.25">
      <c r="B69" t="s">
        <v>99</v>
      </c>
      <c r="D69" s="14">
        <f>'Year-on-Year Costs (10% infl)'!D69</f>
        <v>0</v>
      </c>
      <c r="E69" s="14">
        <f>'Year-on-Year Costs (10% infl)'!E69</f>
        <v>0</v>
      </c>
      <c r="F69" s="14">
        <f>'Year-on-Year Costs (10% infl)'!F69</f>
        <v>0</v>
      </c>
      <c r="G69" s="14">
        <f>'Year-on-Year Costs (10% infl)'!G69</f>
        <v>0</v>
      </c>
      <c r="H69" s="14">
        <f>'Year-on-Year Costs (10% infl)'!H69</f>
        <v>0</v>
      </c>
      <c r="I69" s="14">
        <f>'Year-on-Year Costs (10% infl)'!I69</f>
        <v>0</v>
      </c>
      <c r="J69" s="14">
        <f>'Year-on-Year Costs (10% infl)'!J69</f>
        <v>0</v>
      </c>
      <c r="K69" s="14">
        <f>'Year-on-Year Costs (10% infl)'!K69</f>
        <v>0</v>
      </c>
    </row>
    <row r="70" spans="1:12" x14ac:dyDescent="0.25">
      <c r="B70" t="s">
        <v>74</v>
      </c>
      <c r="D70" s="14">
        <f>D54</f>
        <v>3066</v>
      </c>
      <c r="E70" s="14">
        <f t="shared" ref="E70:K70" si="32">E54</f>
        <v>3219.3</v>
      </c>
      <c r="F70" s="14">
        <f t="shared" si="32"/>
        <v>3380.2650000000003</v>
      </c>
      <c r="G70" s="14">
        <f t="shared" si="32"/>
        <v>3549.2782500000003</v>
      </c>
      <c r="H70" s="14">
        <f t="shared" si="32"/>
        <v>3726.7421625000006</v>
      </c>
      <c r="I70" s="14">
        <f t="shared" si="32"/>
        <v>3913.0792706250008</v>
      </c>
      <c r="J70" s="14">
        <f t="shared" si="32"/>
        <v>4108.7332341562515</v>
      </c>
      <c r="K70" s="14">
        <f t="shared" si="32"/>
        <v>4314.1698958640645</v>
      </c>
    </row>
    <row r="71" spans="1:12" x14ac:dyDescent="0.25">
      <c r="B71" s="1" t="s">
        <v>30</v>
      </c>
      <c r="D71" s="15">
        <f>SUM(D66:D70)</f>
        <v>201094.8</v>
      </c>
      <c r="E71" s="15">
        <f t="shared" ref="E71:K71" si="33">D71+SUM(E66:E70)</f>
        <v>210668.65999999997</v>
      </c>
      <c r="F71" s="15">
        <f t="shared" si="33"/>
        <v>221374.39699999997</v>
      </c>
      <c r="G71" s="15">
        <f t="shared" si="33"/>
        <v>244975.49164999998</v>
      </c>
      <c r="H71" s="15">
        <f t="shared" si="33"/>
        <v>258542.1634925</v>
      </c>
      <c r="I71" s="15">
        <f t="shared" si="33"/>
        <v>286678.68650412501</v>
      </c>
      <c r="J71" s="15">
        <f t="shared" si="33"/>
        <v>304175.52160248125</v>
      </c>
      <c r="K71" s="15">
        <f t="shared" si="33"/>
        <v>338243.53349319781</v>
      </c>
    </row>
    <row r="73" spans="1:12" x14ac:dyDescent="0.25">
      <c r="A73" t="s">
        <v>46</v>
      </c>
      <c r="B73" t="s">
        <v>42</v>
      </c>
      <c r="D73" s="14">
        <f>D57</f>
        <v>192000</v>
      </c>
      <c r="E73" s="14">
        <f t="shared" ref="E73:K73" si="34">E50</f>
        <v>2000</v>
      </c>
      <c r="F73" s="14">
        <f t="shared" si="34"/>
        <v>2100</v>
      </c>
      <c r="G73" s="14">
        <f t="shared" si="34"/>
        <v>13781.250000000002</v>
      </c>
      <c r="H73" s="14">
        <f t="shared" si="34"/>
        <v>2315.2500000000005</v>
      </c>
      <c r="I73" s="14">
        <f t="shared" si="34"/>
        <v>15193.828125</v>
      </c>
      <c r="J73" s="14">
        <f t="shared" si="34"/>
        <v>2552.5631250000001</v>
      </c>
      <c r="K73" s="14">
        <f t="shared" si="34"/>
        <v>16751.195507812503</v>
      </c>
    </row>
    <row r="74" spans="1:12" x14ac:dyDescent="0.25">
      <c r="B74" t="s">
        <v>54</v>
      </c>
      <c r="D74" s="14">
        <f>D67</f>
        <v>14400</v>
      </c>
      <c r="E74" s="14"/>
      <c r="F74" s="21"/>
      <c r="G74" s="14"/>
      <c r="H74" s="21"/>
      <c r="I74" s="14"/>
      <c r="J74" s="21"/>
      <c r="K74" s="14"/>
    </row>
    <row r="75" spans="1:12" x14ac:dyDescent="0.25">
      <c r="B75" t="s">
        <v>85</v>
      </c>
      <c r="D75" s="14">
        <f>0.1*D32+Cost_Benefit_Analysis!R23</f>
        <v>1814.4</v>
      </c>
      <c r="E75" s="14">
        <f>D75*(1.2)</f>
        <v>2177.2800000000002</v>
      </c>
      <c r="F75" s="14">
        <f t="shared" ref="F75:K75" si="35">E75*(1.2)</f>
        <v>2612.7360000000003</v>
      </c>
      <c r="G75" s="14">
        <f t="shared" si="35"/>
        <v>3135.2832000000003</v>
      </c>
      <c r="H75" s="14">
        <f t="shared" si="35"/>
        <v>3762.3398400000001</v>
      </c>
      <c r="I75" s="14">
        <f t="shared" si="35"/>
        <v>4514.8078079999996</v>
      </c>
      <c r="J75" s="14">
        <f t="shared" si="35"/>
        <v>5417.7693695999997</v>
      </c>
      <c r="K75" s="14">
        <f t="shared" si="35"/>
        <v>6501.3232435199998</v>
      </c>
    </row>
    <row r="76" spans="1:12" x14ac:dyDescent="0.25">
      <c r="B76" t="s">
        <v>99</v>
      </c>
      <c r="D76" s="14">
        <f>'Year-on-Year Costs (10% infl)'!D76</f>
        <v>0</v>
      </c>
      <c r="E76" s="14">
        <f>'Year-on-Year Costs (10% infl)'!E76</f>
        <v>0</v>
      </c>
      <c r="F76" s="14">
        <f>'Year-on-Year Costs (10% infl)'!F76</f>
        <v>0</v>
      </c>
      <c r="G76" s="14">
        <f>'Year-on-Year Costs (10% infl)'!G76</f>
        <v>0</v>
      </c>
      <c r="H76" s="14">
        <f>'Year-on-Year Costs (10% infl)'!H76</f>
        <v>0</v>
      </c>
      <c r="I76" s="14">
        <f>'Year-on-Year Costs (10% infl)'!I76</f>
        <v>0</v>
      </c>
      <c r="J76" s="14">
        <f>'Year-on-Year Costs (10% infl)'!J76</f>
        <v>0</v>
      </c>
      <c r="K76" s="14">
        <f>'Year-on-Year Costs (10% infl)'!K76</f>
        <v>0</v>
      </c>
    </row>
    <row r="77" spans="1:12" x14ac:dyDescent="0.25">
      <c r="B77" t="s">
        <v>74</v>
      </c>
      <c r="D77" s="14">
        <f>D70</f>
        <v>3066</v>
      </c>
      <c r="E77" s="14">
        <f t="shared" ref="E77:K77" si="36">E70</f>
        <v>3219.3</v>
      </c>
      <c r="F77" s="14">
        <f t="shared" si="36"/>
        <v>3380.2650000000003</v>
      </c>
      <c r="G77" s="14">
        <f t="shared" si="36"/>
        <v>3549.2782500000003</v>
      </c>
      <c r="H77" s="14">
        <f t="shared" si="36"/>
        <v>3726.7421625000006</v>
      </c>
      <c r="I77" s="14">
        <f t="shared" si="36"/>
        <v>3913.0792706250008</v>
      </c>
      <c r="J77" s="14">
        <f t="shared" si="36"/>
        <v>4108.7332341562515</v>
      </c>
      <c r="K77" s="14">
        <f t="shared" si="36"/>
        <v>4314.1698958640645</v>
      </c>
    </row>
    <row r="78" spans="1:12" x14ac:dyDescent="0.25">
      <c r="B78" s="1" t="s">
        <v>30</v>
      </c>
      <c r="D78" s="15">
        <f>SUM(D73:D77)</f>
        <v>211280.4</v>
      </c>
      <c r="E78" s="15">
        <f t="shared" ref="E78:K78" si="37">D78+SUM(E73:E77)</f>
        <v>218676.97999999998</v>
      </c>
      <c r="F78" s="15">
        <f t="shared" si="37"/>
        <v>226769.98099999997</v>
      </c>
      <c r="G78" s="15">
        <f t="shared" si="37"/>
        <v>247235.79244999998</v>
      </c>
      <c r="H78" s="15">
        <f t="shared" si="37"/>
        <v>257040.12445249999</v>
      </c>
      <c r="I78" s="15">
        <f t="shared" si="37"/>
        <v>280661.839656125</v>
      </c>
      <c r="J78" s="15">
        <f t="shared" si="37"/>
        <v>292740.90538488125</v>
      </c>
      <c r="K78" s="15">
        <f t="shared" si="37"/>
        <v>320307.59403207782</v>
      </c>
    </row>
    <row r="80" spans="1:12" x14ac:dyDescent="0.25">
      <c r="A80" s="1" t="s">
        <v>75</v>
      </c>
    </row>
    <row r="81" spans="1:12" x14ac:dyDescent="0.25">
      <c r="A81" t="s">
        <v>82</v>
      </c>
      <c r="B81" t="s">
        <v>42</v>
      </c>
      <c r="D81">
        <f>Cost_Benefit_Analysis!R30</f>
        <v>25000</v>
      </c>
      <c r="E81" s="32">
        <f>Cost_Benefit_Analysis!R32</f>
        <v>2000</v>
      </c>
      <c r="F81" s="32">
        <f>E81*(1+Cost_Benefit_Analysis!$R$9)</f>
        <v>2100</v>
      </c>
      <c r="G81" s="33">
        <f>F81*(1+Cost_Benefit_Analysis!$R$9)</f>
        <v>2205</v>
      </c>
      <c r="H81" s="33">
        <f>G81*(1+Cost_Benefit_Analysis!$R$9)</f>
        <v>2315.25</v>
      </c>
      <c r="I81" s="33">
        <f>H81*(1+Cost_Benefit_Analysis!$R$9)</f>
        <v>2431.0125000000003</v>
      </c>
      <c r="J81" s="33">
        <f>I81*(1+Cost_Benefit_Analysis!$R$9)</f>
        <v>2552.5631250000006</v>
      </c>
      <c r="K81" s="33">
        <f>J81*(1+Cost_Benefit_Analysis!$R$9)</f>
        <v>2680.1912812500009</v>
      </c>
    </row>
    <row r="82" spans="1:12" x14ac:dyDescent="0.25">
      <c r="B82" t="s">
        <v>54</v>
      </c>
      <c r="D82">
        <f>Cost_Benefit_Analysis!R31</f>
        <v>5000</v>
      </c>
    </row>
    <row r="83" spans="1:12" x14ac:dyDescent="0.25">
      <c r="B83" t="s">
        <v>90</v>
      </c>
      <c r="D83" s="3">
        <f>D32</f>
        <v>18144</v>
      </c>
      <c r="E83" s="3">
        <f t="shared" ref="E83:K83" si="38">E32</f>
        <v>21772.799999999999</v>
      </c>
      <c r="F83" s="3">
        <f t="shared" si="38"/>
        <v>26127.359999999997</v>
      </c>
      <c r="G83" s="3">
        <f t="shared" si="38"/>
        <v>31352.831999999995</v>
      </c>
      <c r="H83" s="3">
        <f t="shared" si="38"/>
        <v>37623.398399999991</v>
      </c>
      <c r="I83" s="3">
        <f t="shared" si="38"/>
        <v>45148.078079999985</v>
      </c>
      <c r="J83" s="3">
        <f t="shared" si="38"/>
        <v>54177.69369599998</v>
      </c>
      <c r="K83" s="3">
        <f t="shared" si="38"/>
        <v>65013.23243519997</v>
      </c>
      <c r="L83" s="3">
        <f>SUM(D83:K83)</f>
        <v>299359.39461119991</v>
      </c>
    </row>
    <row r="84" spans="1:12" x14ac:dyDescent="0.25">
      <c r="B84" t="s">
        <v>99</v>
      </c>
      <c r="D84" s="14">
        <f>D76</f>
        <v>0</v>
      </c>
      <c r="E84" s="14">
        <f t="shared" ref="E84:K84" si="39">E76</f>
        <v>0</v>
      </c>
      <c r="F84" s="14">
        <f t="shared" si="39"/>
        <v>0</v>
      </c>
      <c r="G84" s="14">
        <f t="shared" si="39"/>
        <v>0</v>
      </c>
      <c r="H84" s="14">
        <f t="shared" si="39"/>
        <v>0</v>
      </c>
      <c r="I84" s="14">
        <f t="shared" si="39"/>
        <v>0</v>
      </c>
      <c r="J84" s="14">
        <f t="shared" si="39"/>
        <v>0</v>
      </c>
      <c r="K84" s="14">
        <f t="shared" si="39"/>
        <v>0</v>
      </c>
    </row>
    <row r="85" spans="1:12" x14ac:dyDescent="0.25">
      <c r="B85" t="s">
        <v>74</v>
      </c>
    </row>
    <row r="86" spans="1:12" x14ac:dyDescent="0.25">
      <c r="B86" s="30" t="s">
        <v>93</v>
      </c>
      <c r="D86" s="30">
        <f>-Cost_Benefit_Analysis!R22*Cost_Benefit_Analysis!R34*Cost_Benefit_Analysis!R3</f>
        <v>-9072</v>
      </c>
      <c r="E86" s="30">
        <f>D86*(1.2)</f>
        <v>-10886.4</v>
      </c>
      <c r="F86" s="30">
        <f t="shared" ref="F86:K86" si="40">E86*(1.2)</f>
        <v>-13063.679999999998</v>
      </c>
      <c r="G86" s="30">
        <f t="shared" si="40"/>
        <v>-15676.415999999997</v>
      </c>
      <c r="H86" s="30">
        <f t="shared" si="40"/>
        <v>-18811.699199999995</v>
      </c>
      <c r="I86" s="30">
        <f t="shared" si="40"/>
        <v>-22574.039039999992</v>
      </c>
      <c r="J86" s="30">
        <f t="shared" si="40"/>
        <v>-27088.84684799999</v>
      </c>
      <c r="K86" s="30">
        <f t="shared" si="40"/>
        <v>-32506.616217599985</v>
      </c>
      <c r="L86" s="30">
        <f>SUM(D86:K86)</f>
        <v>-149679.69730559996</v>
      </c>
    </row>
    <row r="87" spans="1:12" x14ac:dyDescent="0.25">
      <c r="B87" s="1" t="s">
        <v>30</v>
      </c>
      <c r="D87" s="1">
        <f>SUM(D81:D86)</f>
        <v>39072</v>
      </c>
      <c r="E87" s="1">
        <f t="shared" ref="E87:K87" si="41">D87+SUM(E81:E86)</f>
        <v>51958.400000000001</v>
      </c>
      <c r="F87" s="4">
        <f t="shared" si="41"/>
        <v>67122.080000000002</v>
      </c>
      <c r="G87" s="4">
        <f t="shared" si="41"/>
        <v>85003.495999999999</v>
      </c>
      <c r="H87" s="4">
        <f t="shared" si="41"/>
        <v>106130.44519999999</v>
      </c>
      <c r="I87" s="4">
        <f t="shared" si="41"/>
        <v>131135.49673999997</v>
      </c>
      <c r="J87" s="4">
        <f t="shared" si="41"/>
        <v>160776.90671299997</v>
      </c>
      <c r="K87" s="4">
        <f t="shared" si="41"/>
        <v>195963.71421184996</v>
      </c>
    </row>
    <row r="88" spans="1:12" x14ac:dyDescent="0.25">
      <c r="F88" s="3"/>
      <c r="G88" s="3"/>
      <c r="H88" s="3"/>
    </row>
    <row r="89" spans="1:12" x14ac:dyDescent="0.25">
      <c r="A89" t="s">
        <v>83</v>
      </c>
      <c r="B89" t="s">
        <v>42</v>
      </c>
      <c r="D89">
        <f>D81</f>
        <v>25000</v>
      </c>
      <c r="E89">
        <f t="shared" ref="E89:K89" si="42">E81</f>
        <v>2000</v>
      </c>
      <c r="F89">
        <f t="shared" si="42"/>
        <v>2100</v>
      </c>
      <c r="G89" s="3">
        <f t="shared" si="42"/>
        <v>2205</v>
      </c>
      <c r="H89" s="3">
        <f t="shared" si="42"/>
        <v>2315.25</v>
      </c>
      <c r="I89" s="3">
        <f t="shared" si="42"/>
        <v>2431.0125000000003</v>
      </c>
      <c r="J89" s="3">
        <f t="shared" si="42"/>
        <v>2552.5631250000006</v>
      </c>
      <c r="K89" s="3">
        <f t="shared" si="42"/>
        <v>2680.1912812500009</v>
      </c>
    </row>
    <row r="90" spans="1:12" x14ac:dyDescent="0.25">
      <c r="B90" t="s">
        <v>54</v>
      </c>
      <c r="D90">
        <f>D82</f>
        <v>5000</v>
      </c>
    </row>
    <row r="91" spans="1:12" x14ac:dyDescent="0.25">
      <c r="B91" t="s">
        <v>85</v>
      </c>
      <c r="D91" s="3">
        <f>D68</f>
        <v>3628.8</v>
      </c>
      <c r="E91" s="3">
        <f t="shared" ref="E91:K91" si="43">E68</f>
        <v>4354.5600000000004</v>
      </c>
      <c r="F91" s="3">
        <f t="shared" si="43"/>
        <v>5225.4720000000007</v>
      </c>
      <c r="G91" s="3">
        <f t="shared" si="43"/>
        <v>6270.5664000000006</v>
      </c>
      <c r="H91" s="3">
        <f t="shared" si="43"/>
        <v>7524.6796800000002</v>
      </c>
      <c r="I91" s="3">
        <f t="shared" si="43"/>
        <v>9029.6156159999991</v>
      </c>
      <c r="J91" s="3">
        <f t="shared" si="43"/>
        <v>10835.538739199999</v>
      </c>
      <c r="K91" s="3">
        <f t="shared" si="43"/>
        <v>13002.64648704</v>
      </c>
    </row>
    <row r="92" spans="1:12" x14ac:dyDescent="0.25">
      <c r="B92" t="s">
        <v>99</v>
      </c>
      <c r="D92" s="14">
        <f>'Year-on-Year Costs (10% infl)'!D92</f>
        <v>0</v>
      </c>
      <c r="E92" s="14">
        <f>'Year-on-Year Costs (10% infl)'!E92</f>
        <v>0</v>
      </c>
      <c r="F92" s="14">
        <f>'Year-on-Year Costs (10% infl)'!F92</f>
        <v>0</v>
      </c>
      <c r="G92" s="14">
        <f>'Year-on-Year Costs (10% infl)'!G92</f>
        <v>0</v>
      </c>
      <c r="H92" s="14">
        <f>'Year-on-Year Costs (10% infl)'!H92</f>
        <v>0</v>
      </c>
      <c r="I92" s="14">
        <f>'Year-on-Year Costs (10% infl)'!I92</f>
        <v>0</v>
      </c>
      <c r="J92" s="14">
        <f>'Year-on-Year Costs (10% infl)'!J92</f>
        <v>0</v>
      </c>
      <c r="K92" s="14">
        <f>'Year-on-Year Costs (10% infl)'!K92</f>
        <v>0</v>
      </c>
    </row>
    <row r="93" spans="1:12" x14ac:dyDescent="0.25">
      <c r="B93" t="s">
        <v>74</v>
      </c>
    </row>
    <row r="94" spans="1:12" x14ac:dyDescent="0.25">
      <c r="B94" s="30" t="s">
        <v>84</v>
      </c>
      <c r="D94" s="30">
        <f>Cost_Benefit_Analysis!R37</f>
        <v>9072</v>
      </c>
      <c r="E94" s="31">
        <f>D94*(1+Cost_Benefit_Analysis!$R$9)</f>
        <v>9525.6</v>
      </c>
      <c r="F94" s="31">
        <f>E94*(1+Cost_Benefit_Analysis!$R$9)</f>
        <v>10001.880000000001</v>
      </c>
      <c r="G94" s="31">
        <f>F94*(1+Cost_Benefit_Analysis!$R$9)</f>
        <v>10501.974000000002</v>
      </c>
      <c r="H94" s="31">
        <f>G94*(1+Cost_Benefit_Analysis!$R$9)</f>
        <v>11027.072700000002</v>
      </c>
      <c r="I94" s="31">
        <f>H94*(1+Cost_Benefit_Analysis!$R$9)</f>
        <v>11578.426335000004</v>
      </c>
      <c r="J94" s="31">
        <f>I94*(1+Cost_Benefit_Analysis!$R$9)</f>
        <v>12157.347651750004</v>
      </c>
      <c r="K94" s="31">
        <f>J94*(1+Cost_Benefit_Analysis!$R$9)</f>
        <v>12765.215034337505</v>
      </c>
      <c r="L94" s="3">
        <f>K94+K91</f>
        <v>25767.861521377505</v>
      </c>
    </row>
    <row r="95" spans="1:12" x14ac:dyDescent="0.25">
      <c r="B95" s="1" t="s">
        <v>30</v>
      </c>
      <c r="D95" s="1">
        <f>SUM(D89:D94)</f>
        <v>42700.800000000003</v>
      </c>
      <c r="E95" s="1">
        <f t="shared" ref="E95:K95" si="44">D95+SUM(E89:E94)</f>
        <v>58580.960000000006</v>
      </c>
      <c r="F95" s="4">
        <f t="shared" si="44"/>
        <v>75908.312000000005</v>
      </c>
      <c r="G95" s="4">
        <f t="shared" si="44"/>
        <v>94885.852400000003</v>
      </c>
      <c r="H95" s="4">
        <f t="shared" si="44"/>
        <v>115752.85478000001</v>
      </c>
      <c r="I95" s="4">
        <f t="shared" si="44"/>
        <v>138791.909231</v>
      </c>
      <c r="J95" s="4">
        <f t="shared" si="44"/>
        <v>164337.35874694999</v>
      </c>
      <c r="K95" s="4">
        <f t="shared" si="44"/>
        <v>192785.41154957749</v>
      </c>
    </row>
    <row r="96" spans="1:12" x14ac:dyDescent="0.25">
      <c r="D96" s="3">
        <f>D91+D94</f>
        <v>12700.8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opLeftCell="A68" workbookViewId="0">
      <selection activeCell="I14" sqref="I14"/>
    </sheetView>
  </sheetViews>
  <sheetFormatPr defaultRowHeight="15" x14ac:dyDescent="0.25"/>
  <cols>
    <col min="1" max="1" width="35.85546875" customWidth="1"/>
    <col min="2" max="2" width="24.5703125" customWidth="1"/>
    <col min="3" max="3" width="12.28515625" customWidth="1"/>
    <col min="4" max="4" width="10" customWidth="1"/>
    <col min="5" max="5" width="12.7109375" customWidth="1"/>
    <col min="6" max="6" width="11.7109375" style="17" customWidth="1"/>
    <col min="7" max="7" width="14.140625" customWidth="1"/>
    <col min="8" max="8" width="11.140625" style="17" bestFit="1" customWidth="1"/>
    <col min="9" max="9" width="12.5703125" customWidth="1"/>
    <col min="10" max="10" width="13.42578125" style="17" customWidth="1"/>
    <col min="11" max="11" width="11.140625" bestFit="1" customWidth="1"/>
  </cols>
  <sheetData>
    <row r="2" spans="1:11" ht="18.75" x14ac:dyDescent="0.3">
      <c r="A2" s="8" t="s">
        <v>43</v>
      </c>
      <c r="B2" s="8">
        <f>'Current Situation (May 2013)'!F6</f>
        <v>2400</v>
      </c>
      <c r="C2" s="8" t="s">
        <v>44</v>
      </c>
      <c r="D2" s="16"/>
    </row>
    <row r="3" spans="1:11" ht="18.75" x14ac:dyDescent="0.3">
      <c r="A3" s="16"/>
      <c r="B3" s="8"/>
      <c r="C3" s="8"/>
      <c r="D3" s="16"/>
    </row>
    <row r="5" spans="1:11" x14ac:dyDescent="0.25">
      <c r="A5" s="1" t="s">
        <v>33</v>
      </c>
    </row>
    <row r="6" spans="1:11" x14ac:dyDescent="0.25">
      <c r="B6" s="1" t="s">
        <v>37</v>
      </c>
      <c r="D6" s="1" t="s">
        <v>22</v>
      </c>
      <c r="E6" s="1" t="s">
        <v>23</v>
      </c>
      <c r="F6" s="18" t="s">
        <v>24</v>
      </c>
      <c r="G6" s="1" t="s">
        <v>25</v>
      </c>
      <c r="H6" s="18" t="s">
        <v>26</v>
      </c>
      <c r="I6" s="1" t="s">
        <v>27</v>
      </c>
      <c r="J6" s="18" t="s">
        <v>28</v>
      </c>
      <c r="K6" s="1" t="s">
        <v>29</v>
      </c>
    </row>
    <row r="7" spans="1:11" x14ac:dyDescent="0.25">
      <c r="B7" t="s">
        <v>21</v>
      </c>
      <c r="D7" s="3">
        <f>'Current Situation (May 2013)'!J6</f>
        <v>43200</v>
      </c>
      <c r="E7" s="3">
        <f>D7*1.1</f>
        <v>47520.000000000007</v>
      </c>
      <c r="F7" s="19">
        <f t="shared" ref="F7:K7" si="0">E7*1.1</f>
        <v>52272.000000000015</v>
      </c>
      <c r="G7" s="3">
        <f t="shared" si="0"/>
        <v>57499.200000000019</v>
      </c>
      <c r="H7" s="19">
        <f t="shared" si="0"/>
        <v>63249.120000000024</v>
      </c>
      <c r="I7" s="3">
        <f t="shared" si="0"/>
        <v>69574.032000000036</v>
      </c>
      <c r="J7" s="19">
        <f t="shared" si="0"/>
        <v>76531.435200000051</v>
      </c>
      <c r="K7" s="3">
        <f t="shared" si="0"/>
        <v>84184.578720000063</v>
      </c>
    </row>
    <row r="8" spans="1:11" x14ac:dyDescent="0.25">
      <c r="B8" s="5" t="s">
        <v>30</v>
      </c>
      <c r="D8" s="4">
        <f>D7</f>
        <v>43200</v>
      </c>
      <c r="E8" s="4">
        <f>SUM(D7:E7)</f>
        <v>90720</v>
      </c>
      <c r="F8" s="20">
        <f t="shared" ref="F8:K8" si="1">E8+F7</f>
        <v>142992</v>
      </c>
      <c r="G8" s="4">
        <f t="shared" si="1"/>
        <v>200491.2</v>
      </c>
      <c r="H8" s="20">
        <f t="shared" si="1"/>
        <v>263740.32000000007</v>
      </c>
      <c r="I8" s="4">
        <f t="shared" si="1"/>
        <v>333314.35200000007</v>
      </c>
      <c r="J8" s="20">
        <f t="shared" si="1"/>
        <v>409845.78720000014</v>
      </c>
      <c r="K8" s="4">
        <f t="shared" si="1"/>
        <v>494030.36592000019</v>
      </c>
    </row>
    <row r="9" spans="1:11" s="11" customFormat="1" x14ac:dyDescent="0.25">
      <c r="B9" s="11" t="s">
        <v>41</v>
      </c>
      <c r="D9" s="13">
        <f>D7</f>
        <v>43200</v>
      </c>
      <c r="E9" s="13">
        <f>E7</f>
        <v>47520.000000000007</v>
      </c>
      <c r="F9" s="13">
        <f t="shared" ref="F9:K9" si="2">F7*(3800/2800)</f>
        <v>70940.571428571449</v>
      </c>
      <c r="G9" s="13">
        <f t="shared" si="2"/>
        <v>78034.628571428606</v>
      </c>
      <c r="H9" s="13">
        <f t="shared" si="2"/>
        <v>85838.091428571468</v>
      </c>
      <c r="I9" s="13">
        <f t="shared" si="2"/>
        <v>94421.900571428618</v>
      </c>
      <c r="J9" s="13">
        <f t="shared" si="2"/>
        <v>103864.0906285715</v>
      </c>
      <c r="K9" s="13">
        <f t="shared" si="2"/>
        <v>114250.49969142866</v>
      </c>
    </row>
    <row r="10" spans="1:11" s="11" customFormat="1" x14ac:dyDescent="0.25">
      <c r="B10" s="24" t="s">
        <v>30</v>
      </c>
      <c r="D10" s="23">
        <f>D9</f>
        <v>43200</v>
      </c>
      <c r="E10" s="23">
        <f>SUM(D9:E9)</f>
        <v>90720</v>
      </c>
      <c r="F10" s="23">
        <f t="shared" ref="F10:K10" si="3">E10+F9</f>
        <v>161660.57142857145</v>
      </c>
      <c r="G10" s="23">
        <f t="shared" si="3"/>
        <v>239695.20000000007</v>
      </c>
      <c r="H10" s="23">
        <f t="shared" si="3"/>
        <v>325533.29142857157</v>
      </c>
      <c r="I10" s="23">
        <f t="shared" si="3"/>
        <v>419955.19200000016</v>
      </c>
      <c r="J10" s="23">
        <f t="shared" si="3"/>
        <v>523819.28262857167</v>
      </c>
      <c r="K10" s="23">
        <f t="shared" si="3"/>
        <v>638069.78232000035</v>
      </c>
    </row>
    <row r="11" spans="1:11" x14ac:dyDescent="0.25">
      <c r="B11" s="5"/>
      <c r="D11" s="4"/>
      <c r="E11" s="4"/>
      <c r="F11" s="20"/>
      <c r="G11" s="4"/>
      <c r="H11" s="20"/>
      <c r="I11" s="4"/>
      <c r="J11" s="20"/>
      <c r="K11" s="4"/>
    </row>
    <row r="12" spans="1:11" x14ac:dyDescent="0.25">
      <c r="B12" s="1" t="s">
        <v>39</v>
      </c>
      <c r="D12" s="1" t="s">
        <v>22</v>
      </c>
      <c r="E12" s="1" t="s">
        <v>23</v>
      </c>
      <c r="F12" s="18" t="s">
        <v>24</v>
      </c>
      <c r="G12" s="1" t="s">
        <v>25</v>
      </c>
      <c r="H12" s="18" t="s">
        <v>26</v>
      </c>
      <c r="I12" s="1" t="s">
        <v>27</v>
      </c>
      <c r="J12" s="18" t="s">
        <v>28</v>
      </c>
      <c r="K12" s="1" t="s">
        <v>29</v>
      </c>
    </row>
    <row r="13" spans="1:11" x14ac:dyDescent="0.25">
      <c r="B13" t="s">
        <v>21</v>
      </c>
      <c r="D13" s="3">
        <f>D7</f>
        <v>43200</v>
      </c>
      <c r="E13" s="3">
        <f>D13*1.2</f>
        <v>51840</v>
      </c>
      <c r="F13" s="19">
        <f t="shared" ref="F13:K13" si="4">E13*1.2</f>
        <v>62208</v>
      </c>
      <c r="G13" s="3">
        <f t="shared" si="4"/>
        <v>74649.599999999991</v>
      </c>
      <c r="H13" s="19">
        <f t="shared" si="4"/>
        <v>89579.51999999999</v>
      </c>
      <c r="I13" s="3">
        <f t="shared" si="4"/>
        <v>107495.42399999998</v>
      </c>
      <c r="J13" s="19">
        <f t="shared" si="4"/>
        <v>128994.50879999998</v>
      </c>
      <c r="K13" s="3">
        <f t="shared" si="4"/>
        <v>154793.41055999996</v>
      </c>
    </row>
    <row r="14" spans="1:11" x14ac:dyDescent="0.25">
      <c r="B14" s="5" t="s">
        <v>30</v>
      </c>
      <c r="D14" s="4">
        <f>D13</f>
        <v>43200</v>
      </c>
      <c r="E14" s="4">
        <f>SUM(D13:E13)</f>
        <v>95040</v>
      </c>
      <c r="F14" s="20">
        <f t="shared" ref="F14:K14" si="5">E14+F13</f>
        <v>157248</v>
      </c>
      <c r="G14" s="4">
        <f t="shared" si="5"/>
        <v>231897.59999999998</v>
      </c>
      <c r="H14" s="20">
        <f t="shared" si="5"/>
        <v>321477.12</v>
      </c>
      <c r="I14" s="4">
        <f t="shared" si="5"/>
        <v>428972.54399999999</v>
      </c>
      <c r="J14" s="20">
        <f t="shared" si="5"/>
        <v>557967.05279999995</v>
      </c>
      <c r="K14" s="4">
        <f t="shared" si="5"/>
        <v>712760.46335999994</v>
      </c>
    </row>
    <row r="15" spans="1:11" s="11" customFormat="1" x14ac:dyDescent="0.25">
      <c r="B15" s="11" t="s">
        <v>41</v>
      </c>
      <c r="D15" s="13">
        <f>D13</f>
        <v>43200</v>
      </c>
      <c r="E15" s="13">
        <f>E13</f>
        <v>51840</v>
      </c>
      <c r="F15" s="13">
        <f t="shared" ref="F15:K15" si="6">F13*(3800/2800)</f>
        <v>84425.142857142855</v>
      </c>
      <c r="G15" s="13">
        <f t="shared" si="6"/>
        <v>101310.17142857143</v>
      </c>
      <c r="H15" s="13">
        <f t="shared" si="6"/>
        <v>121572.20571428571</v>
      </c>
      <c r="I15" s="13">
        <f t="shared" si="6"/>
        <v>145886.64685714286</v>
      </c>
      <c r="J15" s="13">
        <f t="shared" si="6"/>
        <v>175063.97622857141</v>
      </c>
      <c r="K15" s="13">
        <f t="shared" si="6"/>
        <v>210076.77147428566</v>
      </c>
    </row>
    <row r="16" spans="1:11" s="11" customFormat="1" x14ac:dyDescent="0.25">
      <c r="B16" s="24" t="s">
        <v>30</v>
      </c>
      <c r="D16" s="23">
        <f>D15</f>
        <v>43200</v>
      </c>
      <c r="E16" s="23">
        <f>SUM(D15:E15)</f>
        <v>95040</v>
      </c>
      <c r="F16" s="23">
        <f t="shared" ref="F16:K16" si="7">E16+F15</f>
        <v>179465.14285714284</v>
      </c>
      <c r="G16" s="23">
        <f t="shared" si="7"/>
        <v>280775.3142857143</v>
      </c>
      <c r="H16" s="23">
        <f t="shared" si="7"/>
        <v>402347.52000000002</v>
      </c>
      <c r="I16" s="23">
        <f t="shared" si="7"/>
        <v>548234.16685714293</v>
      </c>
      <c r="J16" s="23">
        <f t="shared" si="7"/>
        <v>723298.14308571431</v>
      </c>
      <c r="K16" s="23">
        <f t="shared" si="7"/>
        <v>933374.91455999995</v>
      </c>
    </row>
    <row r="17" spans="1:11" x14ac:dyDescent="0.25">
      <c r="B17" s="5"/>
      <c r="D17" s="4"/>
      <c r="E17" s="4"/>
      <c r="F17" s="20"/>
      <c r="G17" s="4"/>
      <c r="H17" s="20"/>
      <c r="I17" s="4"/>
      <c r="J17" s="20"/>
      <c r="K17" s="4"/>
    </row>
    <row r="18" spans="1:11" x14ac:dyDescent="0.25">
      <c r="B18" s="1" t="s">
        <v>36</v>
      </c>
    </row>
    <row r="19" spans="1:11" x14ac:dyDescent="0.25">
      <c r="B19" t="s">
        <v>21</v>
      </c>
      <c r="D19" s="3">
        <f>D9</f>
        <v>43200</v>
      </c>
      <c r="E19">
        <f t="shared" ref="E19:K19" si="8">D19*1.3</f>
        <v>56160</v>
      </c>
      <c r="F19" s="19">
        <f t="shared" si="8"/>
        <v>73008</v>
      </c>
      <c r="G19" s="3">
        <f t="shared" si="8"/>
        <v>94910.400000000009</v>
      </c>
      <c r="H19" s="19">
        <f t="shared" si="8"/>
        <v>123383.52000000002</v>
      </c>
      <c r="I19" s="3">
        <f t="shared" si="8"/>
        <v>160398.57600000003</v>
      </c>
      <c r="J19" s="19">
        <f t="shared" si="8"/>
        <v>208518.14880000005</v>
      </c>
      <c r="K19" s="3">
        <f t="shared" si="8"/>
        <v>271073.59344000008</v>
      </c>
    </row>
    <row r="20" spans="1:11" x14ac:dyDescent="0.25">
      <c r="B20" s="5" t="s">
        <v>30</v>
      </c>
      <c r="D20" s="4">
        <f>D19</f>
        <v>43200</v>
      </c>
      <c r="E20" s="4">
        <f t="shared" ref="E20:K20" si="9">D20+E19</f>
        <v>99360</v>
      </c>
      <c r="F20" s="20">
        <f t="shared" si="9"/>
        <v>172368</v>
      </c>
      <c r="G20" s="4">
        <f t="shared" si="9"/>
        <v>267278.40000000002</v>
      </c>
      <c r="H20" s="20">
        <f t="shared" si="9"/>
        <v>390661.92000000004</v>
      </c>
      <c r="I20" s="4">
        <f t="shared" si="9"/>
        <v>551060.49600000004</v>
      </c>
      <c r="J20" s="20">
        <f t="shared" si="9"/>
        <v>759578.64480000013</v>
      </c>
      <c r="K20" s="4">
        <f t="shared" si="9"/>
        <v>1030652.2382400002</v>
      </c>
    </row>
    <row r="21" spans="1:11" s="11" customFormat="1" x14ac:dyDescent="0.25">
      <c r="B21" s="11" t="s">
        <v>41</v>
      </c>
      <c r="D21" s="13">
        <f>D19</f>
        <v>43200</v>
      </c>
      <c r="E21" s="11">
        <f>D21*1.3</f>
        <v>56160</v>
      </c>
      <c r="F21" s="13">
        <f t="shared" ref="F21:K21" si="10">F19*(3800/2800)</f>
        <v>99082.285714285725</v>
      </c>
      <c r="G21" s="13">
        <f t="shared" si="10"/>
        <v>128806.97142857144</v>
      </c>
      <c r="H21" s="13">
        <f t="shared" si="10"/>
        <v>167449.06285714288</v>
      </c>
      <c r="I21" s="13">
        <f t="shared" si="10"/>
        <v>217683.78171428575</v>
      </c>
      <c r="J21" s="13">
        <f t="shared" si="10"/>
        <v>282988.9162285715</v>
      </c>
      <c r="K21" s="13">
        <f t="shared" si="10"/>
        <v>367885.59109714301</v>
      </c>
    </row>
    <row r="22" spans="1:11" s="11" customFormat="1" x14ac:dyDescent="0.25">
      <c r="B22" s="24" t="s">
        <v>30</v>
      </c>
      <c r="D22" s="23">
        <f>D21</f>
        <v>43200</v>
      </c>
      <c r="E22" s="23">
        <f t="shared" ref="E22:K22" si="11">D22+E21</f>
        <v>99360</v>
      </c>
      <c r="F22" s="23">
        <f t="shared" si="11"/>
        <v>198442.28571428574</v>
      </c>
      <c r="G22" s="23">
        <f t="shared" si="11"/>
        <v>327249.25714285718</v>
      </c>
      <c r="H22" s="23">
        <f t="shared" si="11"/>
        <v>494698.32000000007</v>
      </c>
      <c r="I22" s="23">
        <f t="shared" si="11"/>
        <v>712382.10171428579</v>
      </c>
      <c r="J22" s="23">
        <f t="shared" si="11"/>
        <v>995371.01794285723</v>
      </c>
      <c r="K22" s="23">
        <f t="shared" si="11"/>
        <v>1363256.6090400002</v>
      </c>
    </row>
    <row r="25" spans="1:11" x14ac:dyDescent="0.25">
      <c r="A25" s="1" t="s">
        <v>34</v>
      </c>
      <c r="B25" s="1" t="s">
        <v>37</v>
      </c>
      <c r="D25" s="1" t="s">
        <v>22</v>
      </c>
      <c r="E25" s="1" t="s">
        <v>23</v>
      </c>
      <c r="F25" s="18" t="s">
        <v>24</v>
      </c>
      <c r="G25" s="1" t="s">
        <v>25</v>
      </c>
      <c r="H25" s="18" t="s">
        <v>26</v>
      </c>
      <c r="I25" s="1" t="s">
        <v>27</v>
      </c>
      <c r="J25" s="18" t="s">
        <v>28</v>
      </c>
      <c r="K25" s="1" t="s">
        <v>29</v>
      </c>
    </row>
    <row r="26" spans="1:11" x14ac:dyDescent="0.25">
      <c r="B26" t="s">
        <v>21</v>
      </c>
      <c r="D26" s="3">
        <f>'Current Situation (May 2013)'!J16</f>
        <v>18144</v>
      </c>
      <c r="E26" s="3">
        <f>D26*1.1</f>
        <v>19958.400000000001</v>
      </c>
      <c r="F26" s="19">
        <f t="shared" ref="F26:K26" si="12">E26*1.1</f>
        <v>21954.240000000002</v>
      </c>
      <c r="G26" s="3">
        <f t="shared" si="12"/>
        <v>24149.664000000004</v>
      </c>
      <c r="H26" s="19">
        <f t="shared" si="12"/>
        <v>26564.630400000005</v>
      </c>
      <c r="I26" s="3">
        <f t="shared" si="12"/>
        <v>29221.093440000008</v>
      </c>
      <c r="J26" s="19">
        <f t="shared" si="12"/>
        <v>32143.202784000012</v>
      </c>
      <c r="K26" s="3">
        <f t="shared" si="12"/>
        <v>35357.523062400018</v>
      </c>
    </row>
    <row r="27" spans="1:11" x14ac:dyDescent="0.25">
      <c r="B27" s="5" t="s">
        <v>30</v>
      </c>
      <c r="D27" s="4">
        <f>D26</f>
        <v>18144</v>
      </c>
      <c r="E27" s="4">
        <f>SUM(D26:E26)</f>
        <v>38102.400000000001</v>
      </c>
      <c r="F27" s="20">
        <f t="shared" ref="F27:K27" si="13">E27+F26</f>
        <v>60056.639999999999</v>
      </c>
      <c r="G27" s="4">
        <f t="shared" si="13"/>
        <v>84206.304000000004</v>
      </c>
      <c r="H27" s="20">
        <f t="shared" si="13"/>
        <v>110770.93440000001</v>
      </c>
      <c r="I27" s="4">
        <f t="shared" si="13"/>
        <v>139992.02784000002</v>
      </c>
      <c r="J27" s="20">
        <f t="shared" si="13"/>
        <v>172135.23062400005</v>
      </c>
      <c r="K27" s="4">
        <f t="shared" si="13"/>
        <v>207492.75368640007</v>
      </c>
    </row>
    <row r="28" spans="1:11" s="11" customFormat="1" x14ac:dyDescent="0.25">
      <c r="B28" s="11" t="s">
        <v>41</v>
      </c>
      <c r="D28" s="13">
        <f>D26</f>
        <v>18144</v>
      </c>
      <c r="E28" s="13">
        <f>E26</f>
        <v>19958.400000000001</v>
      </c>
      <c r="F28" s="13">
        <f t="shared" ref="F28:K28" si="14">F26*(3800/2800)</f>
        <v>29795.040000000005</v>
      </c>
      <c r="G28" s="13">
        <f t="shared" si="14"/>
        <v>32774.544000000009</v>
      </c>
      <c r="H28" s="13">
        <f t="shared" si="14"/>
        <v>36051.998400000011</v>
      </c>
      <c r="I28" s="13">
        <f t="shared" si="14"/>
        <v>39657.198240000012</v>
      </c>
      <c r="J28" s="13">
        <f t="shared" si="14"/>
        <v>43622.91806400002</v>
      </c>
      <c r="K28" s="13">
        <f t="shared" si="14"/>
        <v>47985.209870400024</v>
      </c>
    </row>
    <row r="29" spans="1:11" s="11" customFormat="1" x14ac:dyDescent="0.25">
      <c r="B29" s="24" t="s">
        <v>30</v>
      </c>
      <c r="D29" s="23">
        <f>D28</f>
        <v>18144</v>
      </c>
      <c r="E29" s="23">
        <f>SUM(D28:E28)</f>
        <v>38102.400000000001</v>
      </c>
      <c r="F29" s="23">
        <f t="shared" ref="F29:K29" si="15">E29+F28</f>
        <v>67897.440000000002</v>
      </c>
      <c r="G29" s="23">
        <f t="shared" si="15"/>
        <v>100671.98400000001</v>
      </c>
      <c r="H29" s="23">
        <f t="shared" si="15"/>
        <v>136723.98240000004</v>
      </c>
      <c r="I29" s="23">
        <f t="shared" si="15"/>
        <v>176381.18064000004</v>
      </c>
      <c r="J29" s="23">
        <f t="shared" si="15"/>
        <v>220004.09870400006</v>
      </c>
      <c r="K29" s="23">
        <f t="shared" si="15"/>
        <v>267989.30857440009</v>
      </c>
    </row>
    <row r="30" spans="1:11" x14ac:dyDescent="0.25">
      <c r="A30" s="1"/>
      <c r="B30" s="5"/>
      <c r="D30" s="4"/>
      <c r="E30" s="4"/>
      <c r="F30" s="20"/>
      <c r="G30" s="4"/>
      <c r="H30" s="20"/>
      <c r="I30" s="4"/>
      <c r="J30" s="20"/>
      <c r="K30" s="4"/>
    </row>
    <row r="31" spans="1:11" x14ac:dyDescent="0.25">
      <c r="A31" s="1"/>
      <c r="B31" s="1" t="s">
        <v>39</v>
      </c>
      <c r="D31" s="1" t="s">
        <v>22</v>
      </c>
      <c r="E31" s="1" t="s">
        <v>23</v>
      </c>
      <c r="F31" s="18" t="s">
        <v>24</v>
      </c>
      <c r="G31" s="1" t="s">
        <v>25</v>
      </c>
      <c r="H31" s="18" t="s">
        <v>26</v>
      </c>
      <c r="I31" s="1" t="s">
        <v>27</v>
      </c>
      <c r="J31" s="18" t="s">
        <v>28</v>
      </c>
      <c r="K31" s="1" t="s">
        <v>29</v>
      </c>
    </row>
    <row r="32" spans="1:11" x14ac:dyDescent="0.25">
      <c r="A32" s="1"/>
      <c r="B32" t="s">
        <v>21</v>
      </c>
      <c r="D32" s="3">
        <f>D26</f>
        <v>18144</v>
      </c>
      <c r="E32" s="3">
        <f>D32*1.2</f>
        <v>21772.799999999999</v>
      </c>
      <c r="F32" s="19">
        <f t="shared" ref="F32:K32" si="16">E32*1.2</f>
        <v>26127.359999999997</v>
      </c>
      <c r="G32" s="3">
        <f t="shared" si="16"/>
        <v>31352.831999999995</v>
      </c>
      <c r="H32" s="19">
        <f t="shared" si="16"/>
        <v>37623.398399999991</v>
      </c>
      <c r="I32" s="3">
        <f t="shared" si="16"/>
        <v>45148.078079999985</v>
      </c>
      <c r="J32" s="19">
        <f t="shared" si="16"/>
        <v>54177.69369599998</v>
      </c>
      <c r="K32" s="3">
        <f t="shared" si="16"/>
        <v>65013.23243519997</v>
      </c>
    </row>
    <row r="33" spans="1:11" x14ac:dyDescent="0.25">
      <c r="A33" s="1"/>
      <c r="B33" s="5" t="s">
        <v>30</v>
      </c>
      <c r="D33" s="4">
        <f>D32</f>
        <v>18144</v>
      </c>
      <c r="E33" s="4">
        <f>SUM(D32:E32)</f>
        <v>39916.800000000003</v>
      </c>
      <c r="F33" s="20">
        <f t="shared" ref="F33:K33" si="17">E33+F32</f>
        <v>66044.160000000003</v>
      </c>
      <c r="G33" s="4">
        <f t="shared" si="17"/>
        <v>97396.991999999998</v>
      </c>
      <c r="H33" s="20">
        <f t="shared" si="17"/>
        <v>135020.39039999997</v>
      </c>
      <c r="I33" s="4">
        <f t="shared" si="17"/>
        <v>180168.46847999995</v>
      </c>
      <c r="J33" s="20">
        <f t="shared" si="17"/>
        <v>234346.16217599993</v>
      </c>
      <c r="K33" s="4">
        <f t="shared" si="17"/>
        <v>299359.39461119991</v>
      </c>
    </row>
    <row r="34" spans="1:11" s="11" customFormat="1" x14ac:dyDescent="0.25">
      <c r="A34" s="10"/>
      <c r="B34" s="11" t="s">
        <v>41</v>
      </c>
      <c r="D34" s="13">
        <f>D32</f>
        <v>18144</v>
      </c>
      <c r="E34" s="13">
        <f>E32</f>
        <v>21772.799999999999</v>
      </c>
      <c r="F34" s="13">
        <f t="shared" ref="F34:K34" si="18">F32*(3800/2800)</f>
        <v>35458.559999999998</v>
      </c>
      <c r="G34" s="13">
        <f t="shared" si="18"/>
        <v>42550.271999999997</v>
      </c>
      <c r="H34" s="13">
        <f t="shared" si="18"/>
        <v>51060.326399999991</v>
      </c>
      <c r="I34" s="13">
        <f t="shared" si="18"/>
        <v>61272.391679999979</v>
      </c>
      <c r="J34" s="13">
        <f t="shared" si="18"/>
        <v>73526.870015999972</v>
      </c>
      <c r="K34" s="13">
        <f t="shared" si="18"/>
        <v>88232.244019199963</v>
      </c>
    </row>
    <row r="35" spans="1:11" s="11" customFormat="1" x14ac:dyDescent="0.25">
      <c r="A35" s="10"/>
      <c r="B35" s="24" t="s">
        <v>30</v>
      </c>
      <c r="D35" s="23">
        <f>D34</f>
        <v>18144</v>
      </c>
      <c r="E35" s="23">
        <f>SUM(D34:E34)</f>
        <v>39916.800000000003</v>
      </c>
      <c r="F35" s="23">
        <f t="shared" ref="F35:K35" si="19">E35+F34</f>
        <v>75375.360000000001</v>
      </c>
      <c r="G35" s="23">
        <f t="shared" si="19"/>
        <v>117925.632</v>
      </c>
      <c r="H35" s="23">
        <f t="shared" si="19"/>
        <v>168985.9584</v>
      </c>
      <c r="I35" s="23">
        <f t="shared" si="19"/>
        <v>230258.35007999997</v>
      </c>
      <c r="J35" s="23">
        <f t="shared" si="19"/>
        <v>303785.22009599995</v>
      </c>
      <c r="K35" s="23">
        <f t="shared" si="19"/>
        <v>392017.46411519992</v>
      </c>
    </row>
    <row r="36" spans="1:11" x14ac:dyDescent="0.25">
      <c r="A36" s="1"/>
      <c r="B36" s="5"/>
      <c r="D36" s="4"/>
      <c r="E36" s="4"/>
      <c r="F36" s="20"/>
      <c r="G36" s="4"/>
      <c r="H36" s="20"/>
      <c r="I36" s="4"/>
      <c r="J36" s="20"/>
      <c r="K36" s="4"/>
    </row>
    <row r="37" spans="1:11" x14ac:dyDescent="0.25">
      <c r="B37" s="1" t="s">
        <v>36</v>
      </c>
    </row>
    <row r="38" spans="1:11" x14ac:dyDescent="0.25">
      <c r="B38" t="s">
        <v>21</v>
      </c>
      <c r="D38" s="3">
        <f>D28</f>
        <v>18144</v>
      </c>
      <c r="E38">
        <f t="shared" ref="E38:K38" si="20">D38*1.3</f>
        <v>23587.200000000001</v>
      </c>
      <c r="F38" s="19">
        <f t="shared" si="20"/>
        <v>30663.360000000001</v>
      </c>
      <c r="G38" s="3">
        <f t="shared" si="20"/>
        <v>39862.368000000002</v>
      </c>
      <c r="H38" s="19">
        <f t="shared" si="20"/>
        <v>51821.078400000006</v>
      </c>
      <c r="I38" s="3">
        <f t="shared" si="20"/>
        <v>67367.401920000004</v>
      </c>
      <c r="J38" s="19">
        <f t="shared" si="20"/>
        <v>87577.622496000011</v>
      </c>
      <c r="K38" s="3">
        <f t="shared" si="20"/>
        <v>113850.90924480002</v>
      </c>
    </row>
    <row r="39" spans="1:11" x14ac:dyDescent="0.25">
      <c r="B39" s="5" t="s">
        <v>30</v>
      </c>
      <c r="D39" s="4">
        <f>D38</f>
        <v>18144</v>
      </c>
      <c r="E39" s="4">
        <f t="shared" ref="E39:K39" si="21">D39+E38</f>
        <v>41731.199999999997</v>
      </c>
      <c r="F39" s="20">
        <f t="shared" si="21"/>
        <v>72394.559999999998</v>
      </c>
      <c r="G39" s="4">
        <f t="shared" si="21"/>
        <v>112256.928</v>
      </c>
      <c r="H39" s="20">
        <f t="shared" si="21"/>
        <v>164078.00640000001</v>
      </c>
      <c r="I39" s="4">
        <f t="shared" si="21"/>
        <v>231445.40832000002</v>
      </c>
      <c r="J39" s="20">
        <f t="shared" si="21"/>
        <v>319023.03081600001</v>
      </c>
      <c r="K39" s="4">
        <f t="shared" si="21"/>
        <v>432873.94006080006</v>
      </c>
    </row>
    <row r="40" spans="1:11" s="11" customFormat="1" x14ac:dyDescent="0.25">
      <c r="B40" s="11" t="s">
        <v>41</v>
      </c>
      <c r="D40" s="13">
        <f>D38</f>
        <v>18144</v>
      </c>
      <c r="E40" s="11">
        <f>D40*1.3</f>
        <v>23587.200000000001</v>
      </c>
      <c r="F40" s="13">
        <f t="shared" ref="F40:K40" si="22">F38*(3800/2800)</f>
        <v>41614.560000000005</v>
      </c>
      <c r="G40" s="13">
        <f t="shared" si="22"/>
        <v>54098.928000000007</v>
      </c>
      <c r="H40" s="13">
        <f t="shared" si="22"/>
        <v>70328.606400000004</v>
      </c>
      <c r="I40" s="13">
        <f t="shared" si="22"/>
        <v>91427.188320000016</v>
      </c>
      <c r="J40" s="13">
        <f t="shared" si="22"/>
        <v>118855.34481600003</v>
      </c>
      <c r="K40" s="13">
        <f t="shared" si="22"/>
        <v>154511.94826080004</v>
      </c>
    </row>
    <row r="41" spans="1:11" s="34" customFormat="1" x14ac:dyDescent="0.25">
      <c r="B41" s="35" t="s">
        <v>30</v>
      </c>
      <c r="D41" s="36">
        <f>D40</f>
        <v>18144</v>
      </c>
      <c r="E41" s="36">
        <f t="shared" ref="E41:K41" si="23">D41+E40</f>
        <v>41731.199999999997</v>
      </c>
      <c r="F41" s="36">
        <f t="shared" si="23"/>
        <v>83345.760000000009</v>
      </c>
      <c r="G41" s="36">
        <f t="shared" si="23"/>
        <v>137444.68800000002</v>
      </c>
      <c r="H41" s="36">
        <f t="shared" si="23"/>
        <v>207773.29440000001</v>
      </c>
      <c r="I41" s="36">
        <f t="shared" si="23"/>
        <v>299200.48272000003</v>
      </c>
      <c r="J41" s="36">
        <f t="shared" si="23"/>
        <v>418055.82753600006</v>
      </c>
      <c r="K41" s="36">
        <f t="shared" si="23"/>
        <v>572567.77579680015</v>
      </c>
    </row>
    <row r="43" spans="1:11" x14ac:dyDescent="0.25">
      <c r="A43" s="1" t="s">
        <v>89</v>
      </c>
      <c r="D43" s="1" t="s">
        <v>22</v>
      </c>
      <c r="E43" s="1" t="s">
        <v>23</v>
      </c>
      <c r="F43" s="18" t="s">
        <v>24</v>
      </c>
      <c r="G43" s="1" t="s">
        <v>25</v>
      </c>
      <c r="H43" s="18" t="s">
        <v>26</v>
      </c>
      <c r="I43" s="1" t="s">
        <v>27</v>
      </c>
      <c r="J43" s="18" t="s">
        <v>28</v>
      </c>
      <c r="K43" s="1" t="s">
        <v>29</v>
      </c>
    </row>
    <row r="44" spans="1:11" x14ac:dyDescent="0.25">
      <c r="A44" s="1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B45" t="s">
        <v>91</v>
      </c>
      <c r="D45" s="14">
        <f>Cost_Benefit_Analysis!R25</f>
        <v>0</v>
      </c>
      <c r="E45" s="14">
        <f>D45*(1+Cost_Benefit_Analysis!$R$9)</f>
        <v>0</v>
      </c>
      <c r="F45" s="14">
        <f>E45*(1+Cost_Benefit_Analysis!$R$9)</f>
        <v>0</v>
      </c>
      <c r="G45" s="14">
        <f>F45*(1+Cost_Benefit_Analysis!$R$9)</f>
        <v>0</v>
      </c>
      <c r="H45" s="14">
        <f>G45*(1+Cost_Benefit_Analysis!$R$9)</f>
        <v>0</v>
      </c>
      <c r="I45" s="14">
        <f>H45*(1+Cost_Benefit_Analysis!$R$9)</f>
        <v>0</v>
      </c>
      <c r="J45" s="14">
        <f>I45*(1+Cost_Benefit_Analysis!$R$9)</f>
        <v>0</v>
      </c>
      <c r="K45" s="14">
        <f>J45*(1+Cost_Benefit_Analysis!$R$9)</f>
        <v>0</v>
      </c>
    </row>
    <row r="46" spans="1:11" x14ac:dyDescent="0.25">
      <c r="B46" s="1" t="s">
        <v>30</v>
      </c>
      <c r="D46" s="15">
        <f>SUM(D45)</f>
        <v>0</v>
      </c>
      <c r="E46" s="15">
        <f t="shared" ref="E46:K46" si="24">D46+SUM(E45)</f>
        <v>0</v>
      </c>
      <c r="F46" s="15">
        <f t="shared" si="24"/>
        <v>0</v>
      </c>
      <c r="G46" s="15">
        <f t="shared" si="24"/>
        <v>0</v>
      </c>
      <c r="H46" s="15">
        <f t="shared" si="24"/>
        <v>0</v>
      </c>
      <c r="I46" s="15">
        <f t="shared" si="24"/>
        <v>0</v>
      </c>
      <c r="J46" s="15">
        <f t="shared" si="24"/>
        <v>0</v>
      </c>
      <c r="K46" s="15">
        <f t="shared" si="24"/>
        <v>0</v>
      </c>
    </row>
    <row r="49" spans="1:11" x14ac:dyDescent="0.25">
      <c r="A49" s="1" t="s">
        <v>52</v>
      </c>
      <c r="D49" s="1" t="s">
        <v>22</v>
      </c>
      <c r="E49" s="1" t="s">
        <v>23</v>
      </c>
      <c r="F49" s="18" t="s">
        <v>24</v>
      </c>
      <c r="G49" s="1" t="s">
        <v>25</v>
      </c>
      <c r="H49" s="18" t="s">
        <v>26</v>
      </c>
      <c r="I49" s="1" t="s">
        <v>27</v>
      </c>
      <c r="J49" s="18" t="s">
        <v>28</v>
      </c>
      <c r="K49" s="1" t="s">
        <v>29</v>
      </c>
    </row>
    <row r="50" spans="1:11" x14ac:dyDescent="0.25">
      <c r="A50" t="s">
        <v>45</v>
      </c>
      <c r="B50" t="s">
        <v>42</v>
      </c>
      <c r="D50" s="14">
        <f>Cost_Benefit_Analysis!R14</f>
        <v>180000</v>
      </c>
      <c r="E50" s="14">
        <f>Cost_Benefit_Analysis!R20</f>
        <v>2000</v>
      </c>
      <c r="F50" s="21">
        <f>E50*(1+Cost_Benefit_Analysis!R9)</f>
        <v>2100</v>
      </c>
      <c r="G50" s="14">
        <f>(E50*(1+Cost_Benefit_Analysis!R9)^2)+Cost_Benefit_Analysis!R21*1.05^3</f>
        <v>13781.250000000002</v>
      </c>
      <c r="H50" s="21">
        <f>E50*(1+Cost_Benefit_Analysis!R9)^3</f>
        <v>2315.2500000000005</v>
      </c>
      <c r="I50" s="14">
        <f>(E50*(1+Cost_Benefit_Analysis!R9)^4)+Cost_Benefit_Analysis!R21*1.05^5</f>
        <v>15193.828125</v>
      </c>
      <c r="J50" s="21">
        <f>E50*(1+Cost_Benefit_Analysis!R9)^5</f>
        <v>2552.5631250000001</v>
      </c>
      <c r="K50" s="14">
        <f>(E50*(1+Cost_Benefit_Analysis!R9)^6)+Cost_Benefit_Analysis!R21*1.05^7</f>
        <v>16751.195507812503</v>
      </c>
    </row>
    <row r="51" spans="1:11" x14ac:dyDescent="0.25">
      <c r="A51" s="25" t="s">
        <v>59</v>
      </c>
      <c r="B51" t="s">
        <v>54</v>
      </c>
      <c r="D51" s="14">
        <f>Cost_Benefit_Analysis!R18</f>
        <v>14400</v>
      </c>
      <c r="E51" s="14"/>
      <c r="F51" s="21"/>
      <c r="G51" s="14"/>
      <c r="H51" s="21"/>
      <c r="I51" s="14"/>
      <c r="J51" s="21"/>
      <c r="K51" s="14"/>
    </row>
    <row r="52" spans="1:11" x14ac:dyDescent="0.25">
      <c r="B52" t="s">
        <v>85</v>
      </c>
      <c r="D52" s="14">
        <f>0.2*D32</f>
        <v>3628.8</v>
      </c>
      <c r="E52" s="14">
        <f>D52*(1.3)</f>
        <v>4717.4400000000005</v>
      </c>
      <c r="F52" s="14">
        <f t="shared" ref="F52:K52" si="25">E52*(1.3)</f>
        <v>6132.6720000000005</v>
      </c>
      <c r="G52" s="14">
        <f t="shared" si="25"/>
        <v>7972.4736000000012</v>
      </c>
      <c r="H52" s="14">
        <f t="shared" si="25"/>
        <v>10364.215680000001</v>
      </c>
      <c r="I52" s="14">
        <f t="shared" si="25"/>
        <v>13473.480384000002</v>
      </c>
      <c r="J52" s="14">
        <f t="shared" si="25"/>
        <v>17515.524499200004</v>
      </c>
      <c r="K52" s="14">
        <f t="shared" si="25"/>
        <v>22770.181848960008</v>
      </c>
    </row>
    <row r="53" spans="1:11" x14ac:dyDescent="0.25">
      <c r="B53" t="str">
        <f>'Year-on-Year Costs (10% infl)'!B53</f>
        <v>Helium-fill Charge</v>
      </c>
      <c r="D53">
        <f>'Year-on-Year Costs (10% infl)'!D53</f>
        <v>0</v>
      </c>
      <c r="E53">
        <f>'Year-on-Year Costs (10% infl)'!E53</f>
        <v>0</v>
      </c>
      <c r="F53">
        <f>'Year-on-Year Costs (10% infl)'!F53</f>
        <v>0</v>
      </c>
      <c r="G53">
        <f>'Year-on-Year Costs (10% infl)'!G53</f>
        <v>0</v>
      </c>
      <c r="H53">
        <f>'Year-on-Year Costs (10% infl)'!H53</f>
        <v>0</v>
      </c>
      <c r="I53">
        <f>'Year-on-Year Costs (10% infl)'!I53</f>
        <v>0</v>
      </c>
      <c r="J53">
        <f>'Year-on-Year Costs (10% infl)'!J53</f>
        <v>0</v>
      </c>
      <c r="K53">
        <f>'Year-on-Year Costs (10% infl)'!K53</f>
        <v>0</v>
      </c>
    </row>
    <row r="54" spans="1:11" x14ac:dyDescent="0.25">
      <c r="B54" t="s">
        <v>74</v>
      </c>
      <c r="D54" s="14">
        <f>Cost_Benefit_Analysis!$R$27*Cost_Benefit_Analysis!$R$28*24*365</f>
        <v>3066</v>
      </c>
      <c r="E54" s="14">
        <f>D54*(1+Cost_Benefit_Analysis!$R$9)</f>
        <v>3219.3</v>
      </c>
      <c r="F54" s="14">
        <f>E54*(1+Cost_Benefit_Analysis!$R$9)</f>
        <v>3380.2650000000003</v>
      </c>
      <c r="G54" s="14">
        <f>F54*(1+Cost_Benefit_Analysis!$R$9)</f>
        <v>3549.2782500000003</v>
      </c>
      <c r="H54" s="14">
        <f>G54*(1+Cost_Benefit_Analysis!$R$9)</f>
        <v>3726.7421625000006</v>
      </c>
      <c r="I54" s="14">
        <f>H54*(1+Cost_Benefit_Analysis!$R$9)</f>
        <v>3913.0792706250008</v>
      </c>
      <c r="J54" s="14">
        <f>I54*(1+Cost_Benefit_Analysis!$R$9)</f>
        <v>4108.7332341562515</v>
      </c>
      <c r="K54" s="14">
        <f>J54*(1+Cost_Benefit_Analysis!$R$9)</f>
        <v>4314.1698958640645</v>
      </c>
    </row>
    <row r="55" spans="1:11" x14ac:dyDescent="0.25">
      <c r="B55" s="1" t="s">
        <v>30</v>
      </c>
      <c r="D55" s="15">
        <f>SUM(D50:D54)</f>
        <v>201094.8</v>
      </c>
      <c r="E55" s="15">
        <f t="shared" ref="E55:K55" si="26">D55+SUM(E50:E54)</f>
        <v>211031.53999999998</v>
      </c>
      <c r="F55" s="15">
        <f t="shared" si="26"/>
        <v>222644.47699999998</v>
      </c>
      <c r="G55" s="15">
        <f t="shared" si="26"/>
        <v>247947.47884999998</v>
      </c>
      <c r="H55" s="15">
        <f t="shared" si="26"/>
        <v>264353.68669249996</v>
      </c>
      <c r="I55" s="15">
        <f t="shared" si="26"/>
        <v>296934.07447212498</v>
      </c>
      <c r="J55" s="15">
        <f t="shared" si="26"/>
        <v>321110.89533048123</v>
      </c>
      <c r="K55" s="15">
        <f t="shared" si="26"/>
        <v>364946.44258311781</v>
      </c>
    </row>
    <row r="57" spans="1:11" x14ac:dyDescent="0.25">
      <c r="A57" t="s">
        <v>46</v>
      </c>
      <c r="B57" t="s">
        <v>42</v>
      </c>
      <c r="D57" s="14">
        <f>D50+Cost_Benefit_Analysis!R16</f>
        <v>192000</v>
      </c>
      <c r="E57" s="14">
        <f t="shared" ref="E57:K57" si="27">E50</f>
        <v>2000</v>
      </c>
      <c r="F57" s="14">
        <f t="shared" si="27"/>
        <v>2100</v>
      </c>
      <c r="G57" s="14">
        <f t="shared" si="27"/>
        <v>13781.250000000002</v>
      </c>
      <c r="H57" s="14">
        <f t="shared" si="27"/>
        <v>2315.2500000000005</v>
      </c>
      <c r="I57" s="14">
        <f t="shared" si="27"/>
        <v>15193.828125</v>
      </c>
      <c r="J57" s="14">
        <f t="shared" si="27"/>
        <v>2552.5631250000001</v>
      </c>
      <c r="K57" s="14">
        <f t="shared" si="27"/>
        <v>16751.195507812503</v>
      </c>
    </row>
    <row r="58" spans="1:11" x14ac:dyDescent="0.25">
      <c r="B58" t="s">
        <v>54</v>
      </c>
      <c r="D58" s="14">
        <f>D51</f>
        <v>14400</v>
      </c>
      <c r="E58" s="14"/>
      <c r="F58" s="21"/>
      <c r="G58" s="14"/>
      <c r="H58" s="21"/>
      <c r="I58" s="14"/>
      <c r="J58" s="21"/>
      <c r="K58" s="14"/>
    </row>
    <row r="59" spans="1:11" x14ac:dyDescent="0.25">
      <c r="B59" t="s">
        <v>85</v>
      </c>
      <c r="D59" s="14">
        <f>0.1*D32</f>
        <v>1814.4</v>
      </c>
      <c r="E59" s="14">
        <f>D59*(1.3)</f>
        <v>2358.7200000000003</v>
      </c>
      <c r="F59" s="14">
        <f t="shared" ref="F59:K59" si="28">E59*(1.3)</f>
        <v>3066.3360000000002</v>
      </c>
      <c r="G59" s="14">
        <f t="shared" si="28"/>
        <v>3986.2368000000006</v>
      </c>
      <c r="H59" s="14">
        <f t="shared" si="28"/>
        <v>5182.1078400000006</v>
      </c>
      <c r="I59" s="14">
        <f t="shared" si="28"/>
        <v>6736.7401920000011</v>
      </c>
      <c r="J59" s="14">
        <f t="shared" si="28"/>
        <v>8757.7622496000022</v>
      </c>
      <c r="K59" s="14">
        <f t="shared" si="28"/>
        <v>11385.090924480004</v>
      </c>
    </row>
    <row r="60" spans="1:11" x14ac:dyDescent="0.25">
      <c r="B60" t="str">
        <f>'Year-on-Year Costs (10% infl)'!B60</f>
        <v>Helium-fill Charge</v>
      </c>
      <c r="D60">
        <f>'Year-on-Year Costs (10% infl)'!D60</f>
        <v>0</v>
      </c>
      <c r="E60">
        <f>'Year-on-Year Costs (10% infl)'!E60</f>
        <v>0</v>
      </c>
      <c r="F60">
        <f>'Year-on-Year Costs (10% infl)'!F60</f>
        <v>0</v>
      </c>
      <c r="G60">
        <f>'Year-on-Year Costs (10% infl)'!G60</f>
        <v>0</v>
      </c>
      <c r="H60">
        <f>'Year-on-Year Costs (10% infl)'!H60</f>
        <v>0</v>
      </c>
      <c r="I60">
        <f>'Year-on-Year Costs (10% infl)'!I60</f>
        <v>0</v>
      </c>
      <c r="J60">
        <f>'Year-on-Year Costs (10% infl)'!J60</f>
        <v>0</v>
      </c>
      <c r="K60">
        <f>'Year-on-Year Costs (10% infl)'!K60</f>
        <v>0</v>
      </c>
    </row>
    <row r="61" spans="1:11" x14ac:dyDescent="0.25">
      <c r="B61" t="s">
        <v>74</v>
      </c>
      <c r="D61" s="14">
        <f>D54</f>
        <v>3066</v>
      </c>
      <c r="E61" s="14">
        <f>D61*(1+Cost_Benefit_Analysis!$R$9)</f>
        <v>3219.3</v>
      </c>
      <c r="F61" s="14">
        <f>E61*(1+Cost_Benefit_Analysis!$R$9)</f>
        <v>3380.2650000000003</v>
      </c>
      <c r="G61" s="14">
        <f>F61*(1+Cost_Benefit_Analysis!$R$9)</f>
        <v>3549.2782500000003</v>
      </c>
      <c r="H61" s="14">
        <f>G61*(1+Cost_Benefit_Analysis!$R$9)</f>
        <v>3726.7421625000006</v>
      </c>
      <c r="I61" s="14">
        <f>H61*(1+Cost_Benefit_Analysis!$R$9)</f>
        <v>3913.0792706250008</v>
      </c>
      <c r="J61" s="14">
        <f>I61*(1+Cost_Benefit_Analysis!$R$9)</f>
        <v>4108.7332341562515</v>
      </c>
      <c r="K61" s="14">
        <f>J61*(1+Cost_Benefit_Analysis!$R$9)</f>
        <v>4314.1698958640645</v>
      </c>
    </row>
    <row r="62" spans="1:11" x14ac:dyDescent="0.25">
      <c r="B62" s="1" t="s">
        <v>30</v>
      </c>
      <c r="D62" s="15">
        <f>SUM(D57:D61)</f>
        <v>211280.4</v>
      </c>
      <c r="E62" s="15">
        <f t="shared" ref="E62:K62" si="29">D62+SUM(E57:E61)</f>
        <v>218858.41999999998</v>
      </c>
      <c r="F62" s="15">
        <f t="shared" si="29"/>
        <v>227405.02099999998</v>
      </c>
      <c r="G62" s="15">
        <f t="shared" si="29"/>
        <v>248721.78605</v>
      </c>
      <c r="H62" s="15">
        <f t="shared" si="29"/>
        <v>259945.88605249999</v>
      </c>
      <c r="I62" s="15">
        <f t="shared" si="29"/>
        <v>285789.53364012501</v>
      </c>
      <c r="J62" s="15">
        <f t="shared" si="29"/>
        <v>301208.59224888124</v>
      </c>
      <c r="K62" s="15">
        <f t="shared" si="29"/>
        <v>333659.04857703781</v>
      </c>
    </row>
    <row r="65" spans="1:11" x14ac:dyDescent="0.25">
      <c r="A65" s="1" t="s">
        <v>53</v>
      </c>
      <c r="D65" s="1" t="s">
        <v>22</v>
      </c>
      <c r="E65" s="1" t="s">
        <v>23</v>
      </c>
      <c r="F65" s="18" t="s">
        <v>24</v>
      </c>
      <c r="G65" s="1" t="s">
        <v>25</v>
      </c>
      <c r="H65" s="18" t="s">
        <v>26</v>
      </c>
      <c r="I65" s="1" t="s">
        <v>27</v>
      </c>
      <c r="J65" s="18" t="s">
        <v>28</v>
      </c>
      <c r="K65" s="1" t="s">
        <v>29</v>
      </c>
    </row>
    <row r="66" spans="1:11" x14ac:dyDescent="0.25">
      <c r="A66" t="s">
        <v>45</v>
      </c>
      <c r="B66" t="s">
        <v>42</v>
      </c>
      <c r="D66" s="14">
        <f t="shared" ref="D66:K66" si="30">D50</f>
        <v>180000</v>
      </c>
      <c r="E66" s="14">
        <f t="shared" si="30"/>
        <v>2000</v>
      </c>
      <c r="F66" s="14">
        <f t="shared" si="30"/>
        <v>2100</v>
      </c>
      <c r="G66" s="14">
        <f t="shared" si="30"/>
        <v>13781.250000000002</v>
      </c>
      <c r="H66" s="14">
        <f t="shared" si="30"/>
        <v>2315.2500000000005</v>
      </c>
      <c r="I66" s="14">
        <f t="shared" si="30"/>
        <v>15193.828125</v>
      </c>
      <c r="J66" s="14">
        <f t="shared" si="30"/>
        <v>2552.5631250000001</v>
      </c>
      <c r="K66" s="14">
        <f t="shared" si="30"/>
        <v>16751.195507812503</v>
      </c>
    </row>
    <row r="67" spans="1:11" x14ac:dyDescent="0.25">
      <c r="B67" t="s">
        <v>54</v>
      </c>
      <c r="D67" s="14">
        <f>D58</f>
        <v>14400</v>
      </c>
      <c r="E67" s="14"/>
      <c r="F67" s="21"/>
      <c r="G67" s="14"/>
      <c r="H67" s="21"/>
      <c r="I67" s="14"/>
      <c r="J67" s="21"/>
      <c r="K67" s="14"/>
    </row>
    <row r="68" spans="1:11" x14ac:dyDescent="0.25">
      <c r="B68" t="s">
        <v>85</v>
      </c>
      <c r="D68" s="14">
        <f>0.2*D32+Cost_Benefit_Analysis!R23</f>
        <v>3628.8</v>
      </c>
      <c r="E68" s="14">
        <f>D68*(1.3)</f>
        <v>4717.4400000000005</v>
      </c>
      <c r="F68" s="14">
        <f t="shared" ref="F68:K68" si="31">E68*(1.3)</f>
        <v>6132.6720000000005</v>
      </c>
      <c r="G68" s="14">
        <f t="shared" si="31"/>
        <v>7972.4736000000012</v>
      </c>
      <c r="H68" s="14">
        <f t="shared" si="31"/>
        <v>10364.215680000001</v>
      </c>
      <c r="I68" s="14">
        <f t="shared" si="31"/>
        <v>13473.480384000002</v>
      </c>
      <c r="J68" s="14">
        <f t="shared" si="31"/>
        <v>17515.524499200004</v>
      </c>
      <c r="K68" s="14">
        <f t="shared" si="31"/>
        <v>22770.181848960008</v>
      </c>
    </row>
    <row r="69" spans="1:11" x14ac:dyDescent="0.25">
      <c r="B69" t="str">
        <f>'Year-on-Year Costs (10% infl)'!B69</f>
        <v>Helium-fill Charge</v>
      </c>
      <c r="D69">
        <f>'Year-on-Year Costs (10% infl)'!D69</f>
        <v>0</v>
      </c>
      <c r="E69">
        <f>'Year-on-Year Costs (10% infl)'!E69</f>
        <v>0</v>
      </c>
      <c r="F69">
        <f>'Year-on-Year Costs (10% infl)'!F69</f>
        <v>0</v>
      </c>
      <c r="G69">
        <f>'Year-on-Year Costs (10% infl)'!G69</f>
        <v>0</v>
      </c>
      <c r="H69">
        <f>'Year-on-Year Costs (10% infl)'!H69</f>
        <v>0</v>
      </c>
      <c r="I69">
        <f>'Year-on-Year Costs (10% infl)'!I69</f>
        <v>0</v>
      </c>
      <c r="J69">
        <f>'Year-on-Year Costs (10% infl)'!J69</f>
        <v>0</v>
      </c>
      <c r="K69">
        <f>'Year-on-Year Costs (10% infl)'!K69</f>
        <v>0</v>
      </c>
    </row>
    <row r="70" spans="1:11" x14ac:dyDescent="0.25">
      <c r="B70" t="s">
        <v>74</v>
      </c>
      <c r="D70" s="14">
        <f>D54</f>
        <v>3066</v>
      </c>
      <c r="E70" s="14">
        <f t="shared" ref="E70:K70" si="32">E54</f>
        <v>3219.3</v>
      </c>
      <c r="F70" s="14">
        <f t="shared" si="32"/>
        <v>3380.2650000000003</v>
      </c>
      <c r="G70" s="14">
        <f t="shared" si="32"/>
        <v>3549.2782500000003</v>
      </c>
      <c r="H70" s="14">
        <f t="shared" si="32"/>
        <v>3726.7421625000006</v>
      </c>
      <c r="I70" s="14">
        <f t="shared" si="32"/>
        <v>3913.0792706250008</v>
      </c>
      <c r="J70" s="14">
        <f t="shared" si="32"/>
        <v>4108.7332341562515</v>
      </c>
      <c r="K70" s="14">
        <f t="shared" si="32"/>
        <v>4314.1698958640645</v>
      </c>
    </row>
    <row r="71" spans="1:11" x14ac:dyDescent="0.25">
      <c r="B71" s="1" t="s">
        <v>30</v>
      </c>
      <c r="D71" s="15">
        <f>SUM(D66:D70)</f>
        <v>201094.8</v>
      </c>
      <c r="E71" s="15">
        <f t="shared" ref="E71:K71" si="33">D71+SUM(E66:E70)</f>
        <v>211031.53999999998</v>
      </c>
      <c r="F71" s="15">
        <f t="shared" si="33"/>
        <v>222644.47699999998</v>
      </c>
      <c r="G71" s="15">
        <f t="shared" si="33"/>
        <v>247947.47884999998</v>
      </c>
      <c r="H71" s="15">
        <f t="shared" si="33"/>
        <v>264353.68669249996</v>
      </c>
      <c r="I71" s="15">
        <f t="shared" si="33"/>
        <v>296934.07447212498</v>
      </c>
      <c r="J71" s="15">
        <f t="shared" si="33"/>
        <v>321110.89533048123</v>
      </c>
      <c r="K71" s="15">
        <f t="shared" si="33"/>
        <v>364946.44258311781</v>
      </c>
    </row>
    <row r="73" spans="1:11" x14ac:dyDescent="0.25">
      <c r="A73" t="s">
        <v>46</v>
      </c>
      <c r="B73" t="s">
        <v>42</v>
      </c>
      <c r="D73" s="14">
        <f>D57</f>
        <v>192000</v>
      </c>
      <c r="E73" s="14">
        <f t="shared" ref="E73:K73" si="34">E50</f>
        <v>2000</v>
      </c>
      <c r="F73" s="14">
        <f t="shared" si="34"/>
        <v>2100</v>
      </c>
      <c r="G73" s="14">
        <f t="shared" si="34"/>
        <v>13781.250000000002</v>
      </c>
      <c r="H73" s="14">
        <f t="shared" si="34"/>
        <v>2315.2500000000005</v>
      </c>
      <c r="I73" s="14">
        <f t="shared" si="34"/>
        <v>15193.828125</v>
      </c>
      <c r="J73" s="14">
        <f t="shared" si="34"/>
        <v>2552.5631250000001</v>
      </c>
      <c r="K73" s="14">
        <f t="shared" si="34"/>
        <v>16751.195507812503</v>
      </c>
    </row>
    <row r="74" spans="1:11" x14ac:dyDescent="0.25">
      <c r="B74" t="s">
        <v>54</v>
      </c>
      <c r="D74" s="14">
        <f>D67</f>
        <v>14400</v>
      </c>
      <c r="E74" s="14"/>
      <c r="F74" s="21"/>
      <c r="G74" s="14"/>
      <c r="H74" s="21"/>
      <c r="I74" s="14"/>
      <c r="J74" s="21"/>
      <c r="K74" s="14"/>
    </row>
    <row r="75" spans="1:11" x14ac:dyDescent="0.25">
      <c r="B75" t="s">
        <v>85</v>
      </c>
      <c r="D75" s="14">
        <f>0.1*D32+Cost_Benefit_Analysis!R23</f>
        <v>1814.4</v>
      </c>
      <c r="E75" s="14">
        <f>D75*(1.3)</f>
        <v>2358.7200000000003</v>
      </c>
      <c r="F75" s="14">
        <f t="shared" ref="F75:K75" si="35">E75*(1.3)</f>
        <v>3066.3360000000002</v>
      </c>
      <c r="G75" s="14">
        <f t="shared" si="35"/>
        <v>3986.2368000000006</v>
      </c>
      <c r="H75" s="14">
        <f t="shared" si="35"/>
        <v>5182.1078400000006</v>
      </c>
      <c r="I75" s="14">
        <f t="shared" si="35"/>
        <v>6736.7401920000011</v>
      </c>
      <c r="J75" s="14">
        <f t="shared" si="35"/>
        <v>8757.7622496000022</v>
      </c>
      <c r="K75" s="14">
        <f t="shared" si="35"/>
        <v>11385.090924480004</v>
      </c>
    </row>
    <row r="76" spans="1:11" x14ac:dyDescent="0.25">
      <c r="B76" t="str">
        <f>'Year-on-Year Costs (10% infl)'!B76</f>
        <v>Helium-fill Charge</v>
      </c>
      <c r="D76">
        <f>'Year-on-Year Costs (10% infl)'!D76</f>
        <v>0</v>
      </c>
      <c r="E76">
        <f>'Year-on-Year Costs (10% infl)'!E76</f>
        <v>0</v>
      </c>
      <c r="F76">
        <f>'Year-on-Year Costs (10% infl)'!F76</f>
        <v>0</v>
      </c>
      <c r="G76">
        <f>'Year-on-Year Costs (10% infl)'!G76</f>
        <v>0</v>
      </c>
      <c r="H76">
        <f>'Year-on-Year Costs (10% infl)'!H76</f>
        <v>0</v>
      </c>
      <c r="I76">
        <f>'Year-on-Year Costs (10% infl)'!I76</f>
        <v>0</v>
      </c>
      <c r="J76">
        <f>'Year-on-Year Costs (10% infl)'!J76</f>
        <v>0</v>
      </c>
      <c r="K76">
        <f>'Year-on-Year Costs (10% infl)'!K76</f>
        <v>0</v>
      </c>
    </row>
    <row r="77" spans="1:11" x14ac:dyDescent="0.25">
      <c r="B77" t="s">
        <v>74</v>
      </c>
      <c r="D77" s="14">
        <f>D70</f>
        <v>3066</v>
      </c>
      <c r="E77" s="14">
        <f t="shared" ref="E77:K77" si="36">E70</f>
        <v>3219.3</v>
      </c>
      <c r="F77" s="14">
        <f t="shared" si="36"/>
        <v>3380.2650000000003</v>
      </c>
      <c r="G77" s="14">
        <f t="shared" si="36"/>
        <v>3549.2782500000003</v>
      </c>
      <c r="H77" s="14">
        <f t="shared" si="36"/>
        <v>3726.7421625000006</v>
      </c>
      <c r="I77" s="14">
        <f t="shared" si="36"/>
        <v>3913.0792706250008</v>
      </c>
      <c r="J77" s="14">
        <f t="shared" si="36"/>
        <v>4108.7332341562515</v>
      </c>
      <c r="K77" s="14">
        <f t="shared" si="36"/>
        <v>4314.1698958640645</v>
      </c>
    </row>
    <row r="78" spans="1:11" x14ac:dyDescent="0.25">
      <c r="B78" s="1" t="s">
        <v>30</v>
      </c>
      <c r="D78" s="15">
        <f>SUM(D73:D77)</f>
        <v>211280.4</v>
      </c>
      <c r="E78" s="15">
        <f t="shared" ref="E78:K78" si="37">D78+SUM(E73:E77)</f>
        <v>218858.41999999998</v>
      </c>
      <c r="F78" s="15">
        <f t="shared" si="37"/>
        <v>227405.02099999998</v>
      </c>
      <c r="G78" s="15">
        <f t="shared" si="37"/>
        <v>248721.78605</v>
      </c>
      <c r="H78" s="15">
        <f t="shared" si="37"/>
        <v>259945.88605249999</v>
      </c>
      <c r="I78" s="15">
        <f t="shared" si="37"/>
        <v>285789.53364012501</v>
      </c>
      <c r="J78" s="15">
        <f t="shared" si="37"/>
        <v>301208.59224888124</v>
      </c>
      <c r="K78" s="15">
        <f t="shared" si="37"/>
        <v>333659.04857703781</v>
      </c>
    </row>
    <row r="80" spans="1:11" x14ac:dyDescent="0.25">
      <c r="A80" s="1" t="s">
        <v>75</v>
      </c>
    </row>
    <row r="81" spans="1:11" x14ac:dyDescent="0.25">
      <c r="A81" t="s">
        <v>82</v>
      </c>
      <c r="B81" t="s">
        <v>42</v>
      </c>
      <c r="D81">
        <f>Cost_Benefit_Analysis!R30</f>
        <v>25000</v>
      </c>
      <c r="E81" s="32">
        <f>Cost_Benefit_Analysis!R32</f>
        <v>2000</v>
      </c>
      <c r="F81" s="32">
        <f>E81*(1+Cost_Benefit_Analysis!$R$9)</f>
        <v>2100</v>
      </c>
      <c r="G81" s="33">
        <f>F81*(1+Cost_Benefit_Analysis!$R$9)</f>
        <v>2205</v>
      </c>
      <c r="H81" s="33">
        <f>G81*(1+Cost_Benefit_Analysis!$R$9)</f>
        <v>2315.25</v>
      </c>
      <c r="I81" s="33">
        <f>H81*(1+Cost_Benefit_Analysis!$R$9)</f>
        <v>2431.0125000000003</v>
      </c>
      <c r="J81" s="33">
        <f>I81*(1+Cost_Benefit_Analysis!$R$9)</f>
        <v>2552.5631250000006</v>
      </c>
      <c r="K81" s="33">
        <f>J81*(1+Cost_Benefit_Analysis!$R$9)</f>
        <v>2680.1912812500009</v>
      </c>
    </row>
    <row r="82" spans="1:11" x14ac:dyDescent="0.25">
      <c r="B82" t="s">
        <v>54</v>
      </c>
      <c r="D82">
        <f>Cost_Benefit_Analysis!R31</f>
        <v>5000</v>
      </c>
    </row>
    <row r="83" spans="1:11" x14ac:dyDescent="0.25">
      <c r="B83" t="s">
        <v>90</v>
      </c>
      <c r="D83" s="3">
        <f>D32</f>
        <v>18144</v>
      </c>
      <c r="E83" s="14">
        <f>D83*(1.3)</f>
        <v>23587.200000000001</v>
      </c>
      <c r="F83" s="14">
        <f t="shared" ref="F83:K83" si="38">E83*(1.3)</f>
        <v>30663.360000000001</v>
      </c>
      <c r="G83" s="14">
        <f t="shared" si="38"/>
        <v>39862.368000000002</v>
      </c>
      <c r="H83" s="14">
        <f t="shared" si="38"/>
        <v>51821.078400000006</v>
      </c>
      <c r="I83" s="14">
        <f t="shared" si="38"/>
        <v>67367.401920000004</v>
      </c>
      <c r="J83" s="14">
        <f t="shared" si="38"/>
        <v>87577.622496000011</v>
      </c>
      <c r="K83" s="14">
        <f t="shared" si="38"/>
        <v>113850.90924480002</v>
      </c>
    </row>
    <row r="84" spans="1:11" x14ac:dyDescent="0.25">
      <c r="B84" t="s">
        <v>100</v>
      </c>
      <c r="D84">
        <f>D92</f>
        <v>0</v>
      </c>
      <c r="E84">
        <f t="shared" ref="E84:K84" si="39">E92</f>
        <v>0</v>
      </c>
      <c r="F84">
        <f t="shared" si="39"/>
        <v>0</v>
      </c>
      <c r="G84">
        <f t="shared" si="39"/>
        <v>0</v>
      </c>
      <c r="H84">
        <f t="shared" si="39"/>
        <v>0</v>
      </c>
      <c r="I84">
        <f t="shared" si="39"/>
        <v>0</v>
      </c>
      <c r="J84">
        <f t="shared" si="39"/>
        <v>0</v>
      </c>
      <c r="K84">
        <f t="shared" si="39"/>
        <v>0</v>
      </c>
    </row>
    <row r="85" spans="1:11" x14ac:dyDescent="0.25">
      <c r="B85" t="s">
        <v>74</v>
      </c>
    </row>
    <row r="86" spans="1:11" x14ac:dyDescent="0.25">
      <c r="B86" s="30" t="s">
        <v>81</v>
      </c>
      <c r="D86" s="30">
        <f>-Cost_Benefit_Analysis!R22*Cost_Benefit_Analysis!R34*Cost_Benefit_Analysis!R3</f>
        <v>-9072</v>
      </c>
      <c r="E86" s="30">
        <f>D86*(1.3)</f>
        <v>-11793.6</v>
      </c>
      <c r="F86" s="30">
        <f t="shared" ref="F86:K86" si="40">E86*(1.3)</f>
        <v>-15331.68</v>
      </c>
      <c r="G86" s="30">
        <f t="shared" si="40"/>
        <v>-19931.184000000001</v>
      </c>
      <c r="H86" s="30">
        <f t="shared" si="40"/>
        <v>-25910.539200000003</v>
      </c>
      <c r="I86" s="30">
        <f t="shared" si="40"/>
        <v>-33683.700960000002</v>
      </c>
      <c r="J86" s="30">
        <f t="shared" si="40"/>
        <v>-43788.811248000005</v>
      </c>
      <c r="K86" s="30">
        <f t="shared" si="40"/>
        <v>-56925.454622400008</v>
      </c>
    </row>
    <row r="87" spans="1:11" x14ac:dyDescent="0.25">
      <c r="B87" s="1" t="s">
        <v>30</v>
      </c>
      <c r="D87" s="1">
        <f>SUM(D81:D86)</f>
        <v>39072</v>
      </c>
      <c r="E87" s="1">
        <f t="shared" ref="E87:K87" si="41">D87+SUM(E81:E86)</f>
        <v>52865.599999999999</v>
      </c>
      <c r="F87" s="4">
        <f t="shared" si="41"/>
        <v>70297.279999999999</v>
      </c>
      <c r="G87" s="4">
        <f t="shared" si="41"/>
        <v>92433.464000000007</v>
      </c>
      <c r="H87" s="4">
        <f t="shared" si="41"/>
        <v>120659.25320000001</v>
      </c>
      <c r="I87" s="4">
        <f t="shared" si="41"/>
        <v>156773.96666000001</v>
      </c>
      <c r="J87" s="4">
        <f t="shared" si="41"/>
        <v>203115.341033</v>
      </c>
      <c r="K87" s="4">
        <f t="shared" si="41"/>
        <v>262720.98693665001</v>
      </c>
    </row>
    <row r="88" spans="1:11" x14ac:dyDescent="0.25">
      <c r="F88" s="3"/>
      <c r="G88" s="3"/>
      <c r="H88" s="3"/>
    </row>
    <row r="89" spans="1:11" x14ac:dyDescent="0.25">
      <c r="A89" t="s">
        <v>83</v>
      </c>
      <c r="B89" t="s">
        <v>42</v>
      </c>
      <c r="D89">
        <f>D81</f>
        <v>25000</v>
      </c>
      <c r="E89">
        <f t="shared" ref="E89:K89" si="42">E81</f>
        <v>2000</v>
      </c>
      <c r="F89">
        <f t="shared" si="42"/>
        <v>2100</v>
      </c>
      <c r="G89" s="3">
        <f t="shared" si="42"/>
        <v>2205</v>
      </c>
      <c r="H89" s="3">
        <f t="shared" si="42"/>
        <v>2315.25</v>
      </c>
      <c r="I89" s="3">
        <f t="shared" si="42"/>
        <v>2431.0125000000003</v>
      </c>
      <c r="J89" s="3">
        <f t="shared" si="42"/>
        <v>2552.5631250000006</v>
      </c>
      <c r="K89" s="3">
        <f t="shared" si="42"/>
        <v>2680.1912812500009</v>
      </c>
    </row>
    <row r="90" spans="1:11" x14ac:dyDescent="0.25">
      <c r="B90" t="s">
        <v>54</v>
      </c>
      <c r="D90">
        <f>D82</f>
        <v>5000</v>
      </c>
    </row>
    <row r="91" spans="1:11" x14ac:dyDescent="0.25">
      <c r="B91" t="s">
        <v>85</v>
      </c>
      <c r="D91" s="3">
        <f>D68</f>
        <v>3628.8</v>
      </c>
      <c r="E91" s="3">
        <f t="shared" ref="E91:K91" si="43">E68</f>
        <v>4717.4400000000005</v>
      </c>
      <c r="F91" s="3">
        <f t="shared" si="43"/>
        <v>6132.6720000000005</v>
      </c>
      <c r="G91" s="3">
        <f t="shared" si="43"/>
        <v>7972.4736000000012</v>
      </c>
      <c r="H91" s="3">
        <f t="shared" si="43"/>
        <v>10364.215680000001</v>
      </c>
      <c r="I91" s="3">
        <f t="shared" si="43"/>
        <v>13473.480384000002</v>
      </c>
      <c r="J91" s="3">
        <f t="shared" si="43"/>
        <v>17515.524499200004</v>
      </c>
      <c r="K91" s="3">
        <f t="shared" si="43"/>
        <v>22770.181848960008</v>
      </c>
    </row>
    <row r="92" spans="1:11" x14ac:dyDescent="0.25">
      <c r="B92" t="str">
        <f>'Year-on-Year Costs (10% infl)'!B92</f>
        <v>Helium-fill Charge</v>
      </c>
      <c r="D92">
        <f>'Year-on-Year Costs (10% infl)'!D92</f>
        <v>0</v>
      </c>
      <c r="E92">
        <f>'Year-on-Year Costs (10% infl)'!E92</f>
        <v>0</v>
      </c>
      <c r="F92">
        <f>'Year-on-Year Costs (10% infl)'!F92</f>
        <v>0</v>
      </c>
      <c r="G92">
        <f>'Year-on-Year Costs (10% infl)'!G92</f>
        <v>0</v>
      </c>
      <c r="H92">
        <f>'Year-on-Year Costs (10% infl)'!H92</f>
        <v>0</v>
      </c>
      <c r="I92">
        <f>'Year-on-Year Costs (10% infl)'!I92</f>
        <v>0</v>
      </c>
      <c r="J92">
        <f>'Year-on-Year Costs (10% infl)'!J92</f>
        <v>0</v>
      </c>
      <c r="K92">
        <f>'Year-on-Year Costs (10% infl)'!K92</f>
        <v>0</v>
      </c>
    </row>
    <row r="93" spans="1:11" x14ac:dyDescent="0.25">
      <c r="B93" t="s">
        <v>74</v>
      </c>
    </row>
    <row r="94" spans="1:11" x14ac:dyDescent="0.25">
      <c r="B94" s="30" t="s">
        <v>84</v>
      </c>
      <c r="D94" s="30">
        <f>Cost_Benefit_Analysis!R37</f>
        <v>9072</v>
      </c>
      <c r="E94" s="31">
        <f>D94*(1+Cost_Benefit_Analysis!$R$9)</f>
        <v>9525.6</v>
      </c>
      <c r="F94" s="31">
        <f>E94*(1+Cost_Benefit_Analysis!$R$9)</f>
        <v>10001.880000000001</v>
      </c>
      <c r="G94" s="31">
        <f>F94*(1+Cost_Benefit_Analysis!$R$9)</f>
        <v>10501.974000000002</v>
      </c>
      <c r="H94" s="31">
        <f>G94*(1+Cost_Benefit_Analysis!$R$9)</f>
        <v>11027.072700000002</v>
      </c>
      <c r="I94" s="31">
        <f>H94*(1+Cost_Benefit_Analysis!$R$9)</f>
        <v>11578.426335000004</v>
      </c>
      <c r="J94" s="31">
        <f>I94*(1+Cost_Benefit_Analysis!$R$9)</f>
        <v>12157.347651750004</v>
      </c>
      <c r="K94" s="31">
        <f>J94*(1+Cost_Benefit_Analysis!$R$9)</f>
        <v>12765.215034337505</v>
      </c>
    </row>
    <row r="95" spans="1:11" x14ac:dyDescent="0.25">
      <c r="B95" s="1" t="s">
        <v>30</v>
      </c>
      <c r="D95" s="1">
        <f>SUM(D89:D94)</f>
        <v>42700.800000000003</v>
      </c>
      <c r="E95" s="1">
        <f t="shared" ref="E95:K95" si="44">D95+SUM(E89:E94)</f>
        <v>58943.840000000004</v>
      </c>
      <c r="F95" s="4">
        <f t="shared" si="44"/>
        <v>77178.392000000007</v>
      </c>
      <c r="G95" s="4">
        <f t="shared" si="44"/>
        <v>97857.839600000007</v>
      </c>
      <c r="H95" s="4">
        <f t="shared" si="44"/>
        <v>121564.37798000002</v>
      </c>
      <c r="I95" s="4">
        <f t="shared" si="44"/>
        <v>149047.29719900002</v>
      </c>
      <c r="J95" s="4">
        <f t="shared" si="44"/>
        <v>181272.73247495003</v>
      </c>
      <c r="K95" s="4">
        <f t="shared" si="44"/>
        <v>219488.32063949754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Cost_Benefit_Analysis</vt:lpstr>
      <vt:lpstr>Current Situation (May 2013)</vt:lpstr>
      <vt:lpstr>Year-on-Year Costs (10% infl)</vt:lpstr>
      <vt:lpstr>Year-on-Year Costs (20% infl)</vt:lpstr>
      <vt:lpstr>Year-on-Year Costs (30% infl)</vt:lpstr>
    </vt:vector>
  </TitlesOfParts>
  <Company>University of Bristol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Butts</dc:creator>
  <cp:lastModifiedBy>CP Butts</cp:lastModifiedBy>
  <dcterms:created xsi:type="dcterms:W3CDTF">2013-05-13T07:27:18Z</dcterms:created>
  <dcterms:modified xsi:type="dcterms:W3CDTF">2013-06-24T14:24:24Z</dcterms:modified>
</cp:coreProperties>
</file>